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\Documents\SPAAO\Atskaites\Info mājas lapai\Bilances\"/>
    </mc:Choice>
  </mc:AlternateContent>
  <bookViews>
    <workbookView xWindow="0" yWindow="0" windowWidth="19200" windowHeight="11295" activeTab="2"/>
  </bookViews>
  <sheets>
    <sheet name="Bilance 4.cet." sheetId="1" r:id="rId1"/>
    <sheet name="PZ 4.cet." sheetId="2" r:id="rId2"/>
    <sheet name="NP 4.cet." sheetId="3" r:id="rId3"/>
  </sheets>
  <externalReferences>
    <externalReference r:id="rId4"/>
  </externalReferences>
  <definedNames>
    <definedName name="Akc_D22">'[1]Vērtspapīri  un līdzdal.'!$D$22</definedName>
    <definedName name="Akc_D38">'[1]Vērtspapīri  un līdzdal.'!$D$38</definedName>
    <definedName name="Akc_D54">'[1]Vērtspapīri  un līdzdal.'!$D$54</definedName>
    <definedName name="Akc_D6">'[1]Vērtspapīri  un līdzdal.'!$D$6</definedName>
    <definedName name="Akc_E22">'[1]Vērtspapīri  un līdzdal.'!$E$22</definedName>
    <definedName name="Akc_E38">'[1]Vērtspapīri  un līdzdal.'!$E$38</definedName>
    <definedName name="Akc_E54">'[1]Vērtspapīri  un līdzdal.'!$E$54</definedName>
    <definedName name="Akc_E6">'[1]Vērtspapīri  un līdzdal.'!$E$6</definedName>
    <definedName name="CelleB116">'[1]Uzkrājumu atšifr.'!$B$125</definedName>
    <definedName name="CelleB41">'[1]Uzkrājumu atšifr.'!$B$44</definedName>
    <definedName name="CelleB78">'[1]Uzkrājumu atšifr.'!$B$84</definedName>
    <definedName name="CelleF116">'[1]Uzkrājumu atšifr.'!$F$125</definedName>
    <definedName name="CelleF41">'[1]Uzkrājumu atšifr.'!$F$44</definedName>
    <definedName name="CelleF78">'[1]Uzkrājumu atšifr.'!$F$84</definedName>
    <definedName name="Deb_C24">'[1]Debitoru skaidrojums'!#REF!</definedName>
    <definedName name="Deb_C40">'[1]Debitoru skaidrojums'!#REF!</definedName>
    <definedName name="Deb_C7">'[1]Debitoru skaidrojums'!$C$7</definedName>
    <definedName name="Deb_D107">'[1]Debitoru skaidrojums'!$D$47</definedName>
    <definedName name="Deb_D123">'[1]Debitoru skaidrojums'!#REF!</definedName>
    <definedName name="Deb_D24">'[1]Debitoru skaidrojums'!#REF!</definedName>
    <definedName name="Deb_D40">'[1]Debitoru skaidrojums'!#REF!</definedName>
    <definedName name="Deb_D56">'[1]Debitoru skaidrojums'!$D$36</definedName>
    <definedName name="Deb_D7">'[1]Debitoru skaidrojums'!$D$7</definedName>
    <definedName name="Deb_D75">'[1]Debitoru skaidrojums'!#REF!</definedName>
    <definedName name="Deb_D91">'[1]Debitoru skaidrojums'!#REF!</definedName>
    <definedName name="Deb_E107">'[1]Debitoru skaidrojums'!$E$47</definedName>
    <definedName name="Deb_E123">'[1]Debitoru skaidrojums'!#REF!</definedName>
    <definedName name="Deb_E56">'[1]Debitoru skaidrojums'!$E$36</definedName>
    <definedName name="Deb_E75">'[1]Debitoru skaidrojums'!#REF!</definedName>
    <definedName name="Deb_E91">'[1]Debitoru skaidrojums'!#REF!</definedName>
    <definedName name="Kr_660p">[1]Kreditori!#REF!</definedName>
    <definedName name="Kr_660t">[1]Kreditori!#REF!</definedName>
    <definedName name="Kr_670p">[1]Kreditori!#REF!</definedName>
    <definedName name="Kr_670t">[1]Kreditori!#REF!</definedName>
    <definedName name="Kr_680p">[1]Kreditori!$D$13</definedName>
    <definedName name="Kr_680t">[1]Kreditori!$C$13</definedName>
    <definedName name="Kr_690p">[1]Kreditori!#REF!</definedName>
    <definedName name="Kr_690t">[1]Kreditori!#REF!</definedName>
    <definedName name="Kr_700p">[1]Kreditori!#REF!</definedName>
    <definedName name="Kr_700t">[1]Kreditori!#REF!</definedName>
    <definedName name="Kr_710p">[1]Kreditori!#REF!</definedName>
    <definedName name="Kr_710t">[1]Kreditori!#REF!</definedName>
    <definedName name="Kr_720p">[1]Kreditori!#REF!</definedName>
    <definedName name="Kr_720t">[1]Kreditori!#REF!</definedName>
    <definedName name="Kr_730p">[1]Kreditori!#REF!</definedName>
    <definedName name="Kr_730t">[1]Kreditori!#REF!</definedName>
    <definedName name="Kr_740p">[1]Kreditori!#REF!</definedName>
    <definedName name="Kr_740t">[1]Kreditori!#REF!</definedName>
    <definedName name="Kr_750p">[1]Kreditori!#REF!</definedName>
    <definedName name="Kr_750t">[1]Kreditori!#REF!</definedName>
    <definedName name="Kr_760p">[1]Kreditori!#REF!</definedName>
    <definedName name="Kr_760t">[1]Kreditori!#REF!</definedName>
    <definedName name="Kr_770p">[1]Kreditori!$D$22</definedName>
    <definedName name="Kr_770t">[1]Kreditori!$C$22</definedName>
    <definedName name="Kr_790p">[1]Kreditori!#REF!</definedName>
    <definedName name="Kr_790t">[1]Kreditori!#REF!</definedName>
    <definedName name="Kr_810p">[1]Kreditori!#REF!</definedName>
    <definedName name="Kr_810t">[1]Kreditori!#REF!</definedName>
    <definedName name="Kr_820p">[1]Kreditori!#REF!</definedName>
    <definedName name="Kr_820t">[1]Kreditori!#REF!</definedName>
    <definedName name="Kr_830p">[1]Kreditori!$D$33</definedName>
    <definedName name="Kr_830t">[1]Kreditori!$C$33</definedName>
    <definedName name="Kr_840pp">[1]Kreditori!#REF!</definedName>
    <definedName name="Kr_840t">[1]Kreditori!#REF!</definedName>
    <definedName name="Kr_850p">[1]Kreditori!#REF!</definedName>
    <definedName name="Kr_850t">[1]Kreditori!#REF!</definedName>
    <definedName name="Kr_860p">[1]Kreditori!$D$43</definedName>
    <definedName name="Kr_860t">[1]Kreditori!$C$43</definedName>
    <definedName name="Kr_870p">[1]Kreditori!#REF!</definedName>
    <definedName name="Kr_870t">[1]Kreditori!#REF!</definedName>
    <definedName name="Kr_880p">[1]Kreditori!#REF!</definedName>
    <definedName name="Kr_880t">[1]Kreditori!#REF!</definedName>
    <definedName name="Kr_890p">[1]Kreditori!#REF!</definedName>
    <definedName name="Kr_890t">[1]Kreditori!#REF!</definedName>
    <definedName name="Kr_900p">[1]Kreditori!$D$56</definedName>
    <definedName name="Kr_900t">[1]Kreditori!$C$56</definedName>
    <definedName name="Kr_910p">[1]Kreditori!$D$63</definedName>
    <definedName name="Kr_910t">[1]Kreditori!$C$63</definedName>
    <definedName name="Kr_920p">[1]Kreditori!$D$70</definedName>
    <definedName name="Kr_920t">[1]Kreditori!$C$70</definedName>
    <definedName name="Kr_940p">[1]Kreditori!#REF!</definedName>
    <definedName name="Kr_940t">[1]Kreditori!#REF!</definedName>
    <definedName name="Kr_950p">[1]Kreditori!$D$83</definedName>
    <definedName name="Kr_960p">[1]Kreditori!$D$88</definedName>
    <definedName name="Kr_960t">[1]Kreditori!$C$88</definedName>
    <definedName name="Pasu_Kap_AtshD58">'[1]Pašu kapitāla atšifr.'!#REF!</definedName>
    <definedName name="Pasu_Kap_AtshD68">'[1]Pašu kapitāla atšifr.'!#REF!</definedName>
    <definedName name="PKA_D73">'[1]Pašu kapitāla atšifr.'!#REF!</definedName>
    <definedName name="PKA_D83">'[1]Pašu kapitāla atšifr.'!#REF!</definedName>
    <definedName name="PKA_D88">'[1]Pašu kapitāla atšifr.'!#REF!</definedName>
    <definedName name="PKA_D98">'[1]Pašu kapitāla atšifr.'!#REF!</definedName>
    <definedName name="PZskaidr_060p">[1]p.z.apr.skaidrojumi!$D$79</definedName>
    <definedName name="PZskaidr_060t">[1]p.z.apr.skaidrojumi!$C$79</definedName>
    <definedName name="PZskaidr_070p">[1]p.z.apr.skaidrojumi!$D$85</definedName>
    <definedName name="PZskaidr_070t">[1]p.z.apr.skaidrojumi!$C$85</definedName>
    <definedName name="PZskaidr_080p">[1]p.z.apr.skaidrojumi!$D$90</definedName>
    <definedName name="PZskaidr_080t">[1]p.z.apr.skaidrojumi!$C$90</definedName>
    <definedName name="PZskaidr_090p">[1]p.z.apr.skaidrojumi!$D$95</definedName>
    <definedName name="PZskaidr_090t">[1]p.z.apr.skaidrojumi!$C$95</definedName>
    <definedName name="PZskaidr_100t">[1]p.z.apr.skaidrojumi!$C$101</definedName>
    <definedName name="PZskaidr_110p">[1]p.z.apr.skaidrojumi!$D$106</definedName>
    <definedName name="PZskaidr_110t">[1]p.z.apr.skaidrojumi!$C$106</definedName>
    <definedName name="PZskaidr_120p">[1]p.z.apr.skaidrojumi!$D$116</definedName>
    <definedName name="PZskaidr_120t">[1]p.z.apr.skaidrojumi!$C$116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3" l="1"/>
  <c r="D50" i="3"/>
  <c r="F44" i="3"/>
  <c r="D44" i="3"/>
  <c r="G41" i="3"/>
  <c r="F41" i="3"/>
  <c r="E41" i="3"/>
  <c r="D41" i="3"/>
  <c r="F32" i="3"/>
  <c r="D32" i="3"/>
  <c r="G29" i="3"/>
  <c r="F29" i="3"/>
  <c r="E29" i="3"/>
  <c r="D29" i="3"/>
  <c r="F20" i="3"/>
  <c r="D20" i="3"/>
  <c r="G17" i="3"/>
  <c r="F17" i="3"/>
  <c r="E17" i="3"/>
  <c r="D17" i="3"/>
  <c r="F4" i="3"/>
  <c r="D4" i="3"/>
  <c r="A26" i="2"/>
  <c r="D23" i="2"/>
  <c r="C23" i="2"/>
  <c r="D20" i="2"/>
  <c r="C20" i="2"/>
  <c r="D19" i="2"/>
  <c r="C19" i="2"/>
  <c r="D17" i="2"/>
  <c r="C17" i="2"/>
  <c r="D16" i="2"/>
  <c r="C16" i="2"/>
  <c r="C15" i="2"/>
  <c r="D14" i="2"/>
  <c r="C14" i="2"/>
  <c r="D13" i="2"/>
  <c r="C13" i="2"/>
  <c r="D12" i="2"/>
  <c r="C12" i="2"/>
  <c r="D11" i="2"/>
  <c r="C11" i="2"/>
  <c r="D10" i="2"/>
  <c r="C10" i="2"/>
  <c r="D9" i="2"/>
  <c r="C9" i="2"/>
  <c r="D7" i="2"/>
  <c r="C7" i="2"/>
  <c r="D6" i="2"/>
  <c r="D8" i="2" s="1"/>
  <c r="C6" i="2"/>
  <c r="C8" i="2" s="1"/>
  <c r="D5" i="2"/>
  <c r="C5" i="2"/>
  <c r="A4" i="2"/>
  <c r="B122" i="1"/>
  <c r="F118" i="1"/>
  <c r="E118" i="1"/>
  <c r="F117" i="1"/>
  <c r="F119" i="1" s="1"/>
  <c r="F116" i="1"/>
  <c r="E116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E119" i="1" s="1"/>
  <c r="F100" i="1"/>
  <c r="E100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3" i="1"/>
  <c r="E83" i="1"/>
  <c r="F82" i="1"/>
  <c r="E82" i="1"/>
  <c r="F81" i="1"/>
  <c r="E81" i="1"/>
  <c r="E78" i="1"/>
  <c r="F73" i="1"/>
  <c r="E73" i="1"/>
  <c r="F72" i="1"/>
  <c r="E72" i="1"/>
  <c r="F71" i="1"/>
  <c r="F75" i="1" s="1"/>
  <c r="E71" i="1"/>
  <c r="F69" i="1"/>
  <c r="E69" i="1"/>
  <c r="F68" i="1"/>
  <c r="E68" i="1"/>
  <c r="F67" i="1"/>
  <c r="E67" i="1"/>
  <c r="F66" i="1"/>
  <c r="F79" i="1" s="1"/>
  <c r="E66" i="1"/>
  <c r="F64" i="1"/>
  <c r="E64" i="1"/>
  <c r="F60" i="1"/>
  <c r="E60" i="1"/>
  <c r="F58" i="1"/>
  <c r="E58" i="1"/>
  <c r="F57" i="1"/>
  <c r="E57" i="1"/>
  <c r="F56" i="1"/>
  <c r="E56" i="1"/>
  <c r="F55" i="1"/>
  <c r="F59" i="1" s="1"/>
  <c r="E55" i="1"/>
  <c r="E59" i="1" s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F53" i="1" s="1"/>
  <c r="E45" i="1"/>
  <c r="E53" i="1" s="1"/>
  <c r="F43" i="1"/>
  <c r="E43" i="1"/>
  <c r="F41" i="1"/>
  <c r="E41" i="1"/>
  <c r="F40" i="1"/>
  <c r="E40" i="1"/>
  <c r="F39" i="1"/>
  <c r="E39" i="1"/>
  <c r="F38" i="1"/>
  <c r="E38" i="1"/>
  <c r="F37" i="1"/>
  <c r="E37" i="1"/>
  <c r="F36" i="1"/>
  <c r="F42" i="1" s="1"/>
  <c r="F61" i="1" s="1"/>
  <c r="E36" i="1"/>
  <c r="E42" i="1" s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F32" i="1" s="1"/>
  <c r="E24" i="1"/>
  <c r="E32" i="1" s="1"/>
  <c r="F22" i="1"/>
  <c r="E22" i="1"/>
  <c r="F21" i="1"/>
  <c r="E21" i="1"/>
  <c r="F19" i="1"/>
  <c r="E19" i="1"/>
  <c r="F18" i="1"/>
  <c r="E18" i="1"/>
  <c r="F17" i="1"/>
  <c r="E17" i="1"/>
  <c r="F16" i="1"/>
  <c r="E16" i="1"/>
  <c r="F15" i="1"/>
  <c r="E15" i="1"/>
  <c r="F14" i="1"/>
  <c r="F20" i="1" s="1"/>
  <c r="E14" i="1"/>
  <c r="E20" i="1" s="1"/>
  <c r="F11" i="1"/>
  <c r="E11" i="1"/>
  <c r="F10" i="1"/>
  <c r="E10" i="1"/>
  <c r="F9" i="1"/>
  <c r="E9" i="1"/>
  <c r="F8" i="1"/>
  <c r="E8" i="1"/>
  <c r="F7" i="1"/>
  <c r="F12" i="1" s="1"/>
  <c r="E7" i="1"/>
  <c r="E12" i="1" s="1"/>
  <c r="E33" i="1" s="1"/>
  <c r="F4" i="1"/>
  <c r="E4" i="1"/>
  <c r="D18" i="2" l="1"/>
  <c r="D21" i="2" s="1"/>
  <c r="D24" i="2" s="1"/>
  <c r="D18" i="3"/>
  <c r="D46" i="3" s="1"/>
  <c r="F18" i="3"/>
  <c r="F46" i="3" s="1"/>
  <c r="D30" i="3"/>
  <c r="D47" i="3" s="1"/>
  <c r="F30" i="3"/>
  <c r="F47" i="3" s="1"/>
  <c r="D42" i="3"/>
  <c r="D48" i="3" s="1"/>
  <c r="F42" i="3"/>
  <c r="F48" i="3" s="1"/>
  <c r="C18" i="2"/>
  <c r="C21" i="2" s="1"/>
  <c r="C24" i="2" s="1"/>
  <c r="E84" i="1"/>
  <c r="E101" i="1"/>
  <c r="E120" i="1" s="1"/>
  <c r="E75" i="1"/>
  <c r="E79" i="1" s="1"/>
  <c r="F84" i="1"/>
  <c r="F101" i="1"/>
  <c r="F120" i="1" s="1"/>
  <c r="D49" i="3"/>
  <c r="D51" i="3" s="1"/>
  <c r="F33" i="1"/>
  <c r="F62" i="1" s="1"/>
  <c r="E61" i="1"/>
  <c r="E62" i="1" s="1"/>
  <c r="F49" i="3" l="1"/>
  <c r="F121" i="1"/>
  <c r="E121" i="1"/>
</calcChain>
</file>

<file path=xl/comments1.xml><?xml version="1.0" encoding="utf-8"?>
<comments xmlns="http://schemas.openxmlformats.org/spreadsheetml/2006/main">
  <authors>
    <author>Skaidrite</author>
  </authors>
  <commentList>
    <comment ref="D50" authorId="0" shapeId="0">
      <text>
        <r>
          <rPr>
            <b/>
            <sz val="8"/>
            <color indexed="81"/>
            <rFont val="Tahoma"/>
            <family val="2"/>
            <charset val="186"/>
          </rPr>
          <t xml:space="preserve">=bilance 470.rinda gada sākums </t>
        </r>
        <r>
          <rPr>
            <b/>
            <i/>
            <sz val="8"/>
            <color indexed="81"/>
            <rFont val="Tahoma"/>
            <family val="2"/>
            <charset val="186"/>
          </rPr>
          <t>un</t>
        </r>
        <r>
          <rPr>
            <b/>
            <sz val="8"/>
            <color indexed="81"/>
            <rFont val="Tahoma"/>
            <family val="2"/>
            <charset val="186"/>
          </rPr>
          <t xml:space="preserve">
= naudas atšifrējumā naudas atlikums gada sākumā
</t>
        </r>
        <r>
          <rPr>
            <sz val="8"/>
            <color indexed="81"/>
            <rFont val="Tahoma"/>
            <family val="2"/>
            <charset val="186"/>
          </rPr>
          <t xml:space="preserve">
</t>
        </r>
      </text>
    </comment>
    <comment ref="D51" authorId="0" shapeId="0">
      <text>
        <r>
          <rPr>
            <b/>
            <sz val="8"/>
            <color indexed="81"/>
            <rFont val="Tahoma"/>
            <family val="2"/>
            <charset val="186"/>
          </rPr>
          <t xml:space="preserve">=bilance 470.rinda gada beigas </t>
        </r>
        <r>
          <rPr>
            <b/>
            <i/>
            <sz val="8"/>
            <color indexed="81"/>
            <rFont val="Tahoma"/>
            <family val="2"/>
            <charset val="186"/>
          </rPr>
          <t>un</t>
        </r>
        <r>
          <rPr>
            <b/>
            <sz val="8"/>
            <color indexed="81"/>
            <rFont val="Tahoma"/>
            <family val="2"/>
            <charset val="186"/>
          </rPr>
          <t xml:space="preserve">
=naudas atšifrējumā naudas atlikumsgada beigās</t>
        </r>
        <r>
          <rPr>
            <sz val="8"/>
            <color indexed="81"/>
            <rFont val="Tahoma"/>
            <family val="2"/>
            <charset val="186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<sst xmlns="http://schemas.openxmlformats.org/spreadsheetml/2006/main" count="215" uniqueCount="172">
  <si>
    <t>B i l a n c e</t>
  </si>
  <si>
    <t>Aktīvs</t>
  </si>
  <si>
    <t>Rindas kods</t>
  </si>
  <si>
    <t>ILGTERMIŅA IEGULDĪJUMI</t>
  </si>
  <si>
    <t>I</t>
  </si>
  <si>
    <t xml:space="preserve"> Nemateriālie ieguldījumi</t>
  </si>
  <si>
    <t xml:space="preserve">1.Attīstības izmaksas. </t>
  </si>
  <si>
    <t>2. Koncesijas, patenti, licences, preču zīmes un tamlīdzīgas izmaksas</t>
  </si>
  <si>
    <t>3. Citi nemateriālie ieguldījumi</t>
  </si>
  <si>
    <t>4. Nemateriālās vērtības.</t>
  </si>
  <si>
    <t>5. Avansa maksājumi par nemateriālajiem ieguldījumiem</t>
  </si>
  <si>
    <t>I.KOPĀ</t>
  </si>
  <si>
    <t>II.</t>
  </si>
  <si>
    <t xml:space="preserve"> Pamatlīdzekļi</t>
  </si>
  <si>
    <t>1. Zemes gabali, ēkas, būves un ilggadīgie stādījumi</t>
  </si>
  <si>
    <t>2. Ilgtermiņa ieguldījumi nomātajos pamatlīdzekļos</t>
  </si>
  <si>
    <t>3. Iekārtas un mašīnas</t>
  </si>
  <si>
    <t>4. Pārējie pamatlīdzekļi un inventārs</t>
  </si>
  <si>
    <t>5. Pamatlīdzekļu izveidošana un nepabeigto celtniecības objektu izmaksas.</t>
  </si>
  <si>
    <t>6. Avansa maksājumi par pamatlīdzekļiem</t>
  </si>
  <si>
    <t>II.KOPĀ</t>
  </si>
  <si>
    <t>III</t>
  </si>
  <si>
    <t xml:space="preserve"> Ieguldījuma īpašumi</t>
  </si>
  <si>
    <t>IV</t>
  </si>
  <si>
    <t>Bioloģiskie aktīvi</t>
  </si>
  <si>
    <t>V</t>
  </si>
  <si>
    <t xml:space="preserve"> Ilgtermiņa finanšu ieguldījumi</t>
  </si>
  <si>
    <t>1. Līdzdalība radniecīgo sabiedrību kapitālā</t>
  </si>
  <si>
    <t>2. Aizdevumi radniecīgajām sabiedrībām</t>
  </si>
  <si>
    <t>3. Līdzdalība asociēto sabiedrību kapitālā</t>
  </si>
  <si>
    <t>4. Aizdevumi asociētajām sabiedrībām</t>
  </si>
  <si>
    <t>5. Pārējie vērtspapīri un ieguldījumi</t>
  </si>
  <si>
    <t>6. Pārējie aizdevumi un citi ilgtermiņa debitori.</t>
  </si>
  <si>
    <t>7. Pašu akcijas un daļas</t>
  </si>
  <si>
    <t>8. Aizdevumi akcionāriem vai dalībniekiem un vadībai</t>
  </si>
  <si>
    <t>III.KOPĀ</t>
  </si>
  <si>
    <t>1. IEDAĻAS KOPSUMMA</t>
  </si>
  <si>
    <t>APGROZĀMIE LĪDZEKĻI</t>
  </si>
  <si>
    <t>I.</t>
  </si>
  <si>
    <t>KRĀJUMI</t>
  </si>
  <si>
    <t>1.Izejvielas, materiāli un palīgmateriāli</t>
  </si>
  <si>
    <t>2. Nepabeigtie ražojumi</t>
  </si>
  <si>
    <t>3. Gatavie ražojumi un preces pārdošanai</t>
  </si>
  <si>
    <t>4. Nepabeigtie pasūtījumi</t>
  </si>
  <si>
    <t>5. Avansa maksājumi par precēm</t>
  </si>
  <si>
    <t>6. Darba dzīvnieki un produktīvie dzīvnieki</t>
  </si>
  <si>
    <t>II</t>
  </si>
  <si>
    <t xml:space="preserve"> Pārdošanai turēti ilgtermiņa ieguldījumi</t>
  </si>
  <si>
    <t>III.</t>
  </si>
  <si>
    <t xml:space="preserve"> DEBITORI</t>
  </si>
  <si>
    <t>1.Pircēju un pasūtītāju parādi</t>
  </si>
  <si>
    <t>2. Radniecīgo sabiedrību parādi</t>
  </si>
  <si>
    <t>3. Asociēto sabiedrību parādi</t>
  </si>
  <si>
    <t>4.Citi debitori</t>
  </si>
  <si>
    <t>5. Neiemaksātās daļas sabiedrības kapitālā</t>
  </si>
  <si>
    <t>6. Īstermiņa aizdevumi akcionāriem un  dalībniekiem  un vadībai</t>
  </si>
  <si>
    <t>7. Nākamo periodu izmaksas</t>
  </si>
  <si>
    <t xml:space="preserve">8. Uzkrātie ieņēmumi. </t>
  </si>
  <si>
    <t xml:space="preserve"> Vērtspapīri un līdzdalība kapitālos</t>
  </si>
  <si>
    <t>2. Pašu akcijas un daļas</t>
  </si>
  <si>
    <t>3. Pārējie vērtspapīri un līdzdalība kapitālos</t>
  </si>
  <si>
    <t>4. Atvasinātie finanšu instrumenti</t>
  </si>
  <si>
    <t xml:space="preserve">IV KOPĀ                                                                              </t>
  </si>
  <si>
    <t xml:space="preserve"> NAUDAS LĪDZEKĻI                    </t>
  </si>
  <si>
    <t>2. IEDAĻAS KOPSUMMA</t>
  </si>
  <si>
    <t>BILANCE</t>
  </si>
  <si>
    <t>Pasīvs</t>
  </si>
  <si>
    <t>PAŠU KAPITĀLS</t>
  </si>
  <si>
    <t>1.Akciju vai daļu kapitāls (pamatkapitāls)</t>
  </si>
  <si>
    <t>2. Akciju (daļu) emisijas uzcenojums</t>
  </si>
  <si>
    <t>3. Ilgtermiņa ieguldījumu pārvērtēšanas rezerve</t>
  </si>
  <si>
    <t>4.Finanšu instrumentu pārvērtēšanas  rezerve</t>
  </si>
  <si>
    <t>5.Rezerves</t>
  </si>
  <si>
    <t xml:space="preserve">  a) likumā noteiktās rezerves</t>
  </si>
  <si>
    <t xml:space="preserve">  b) rezerves pašu akcijām vai daļām</t>
  </si>
  <si>
    <t xml:space="preserve">  c) sabiedrības statūtos noteiktās rezerves</t>
  </si>
  <si>
    <t xml:space="preserve">  d) pārējas  rezerves</t>
  </si>
  <si>
    <t>KOPĀ rezeves</t>
  </si>
  <si>
    <t>6.Nesadalītā peļņa</t>
  </si>
  <si>
    <t xml:space="preserve">a)iepriekšējo gadu nesadalītā peļņa </t>
  </si>
  <si>
    <t>b)pārskata gada nesadalītā peļņa</t>
  </si>
  <si>
    <t>1.IEDAĻAS KOPSUMMA</t>
  </si>
  <si>
    <t xml:space="preserve"> UZKRĀJUMI</t>
  </si>
  <si>
    <t>1. Uzkrājumi pensijām un tamlīdzīgām saistībām</t>
  </si>
  <si>
    <t>2. Uzkrājumi paredzamajiem nodokļiem</t>
  </si>
  <si>
    <t>3. Citi uzkrājumi</t>
  </si>
  <si>
    <t>2.IEDAĻAS KOPSUMMA</t>
  </si>
  <si>
    <t xml:space="preserve"> KREDITORI</t>
  </si>
  <si>
    <t>Ilgtermiņa kreditori</t>
  </si>
  <si>
    <t>1. Aizņēmumi no obligācijām</t>
  </si>
  <si>
    <t>2. Akcijās pārvēršamie aizņēmumi</t>
  </si>
  <si>
    <t>3. Aizņēmumi no kredītiestādēm</t>
  </si>
  <si>
    <t>4. Citi aizņēmumi</t>
  </si>
  <si>
    <t>5. No pircējiem saņemtie avansi</t>
  </si>
  <si>
    <t>6. Parādi piegādātājiem un darbuzņēmējiem</t>
  </si>
  <si>
    <t>7. Maksājamie vekseļi</t>
  </si>
  <si>
    <t>8. Parādi radniecīgajām sabiedrībām</t>
  </si>
  <si>
    <t>9. Parādi asociētajiem uzņēmumiem</t>
  </si>
  <si>
    <t>10. Nodokļi un sociālās apdrošināšanas maksājumi</t>
  </si>
  <si>
    <t>11. Pārējie kreditori</t>
  </si>
  <si>
    <t>12. Nākamo periodu ieņēmumi</t>
  </si>
  <si>
    <t>14. Neizmaksātās  dividendes</t>
  </si>
  <si>
    <t>I. KOPĀ</t>
  </si>
  <si>
    <t>Īstermiņa kreditori</t>
  </si>
  <si>
    <t>1. Aizņēmumi pret obligācijām</t>
  </si>
  <si>
    <t xml:space="preserve">5. No pircējiem saņemtie avansi  </t>
  </si>
  <si>
    <t>6.Parādi piegādātājiem un darbuzņēmējiem</t>
  </si>
  <si>
    <t>10.Nodokļi un sociālās apdrošināšanas maksājumi</t>
  </si>
  <si>
    <t>15. Uzkrātas saistības</t>
  </si>
  <si>
    <t>16. Atvasinātie finanšu instrumenti</t>
  </si>
  <si>
    <t>3.IEDAĻAS KOPSUMMA</t>
  </si>
  <si>
    <t>Peļņas vai zaudējumu aprēķins</t>
  </si>
  <si>
    <t>Neto apgrozījums</t>
  </si>
  <si>
    <t>Pārdotās produkcijas ražošanas izmaksas</t>
  </si>
  <si>
    <t>Bruto peļņa</t>
  </si>
  <si>
    <t>Pārdošanas izmaksas</t>
  </si>
  <si>
    <t xml:space="preserve">Administrācijas izmaksas </t>
  </si>
  <si>
    <t>Pārējie uzņēmuma saimnieciskās darbības ieņēmumi</t>
  </si>
  <si>
    <t>Pārējās uzņēmuma saimnieciskās darbības izmaksas</t>
  </si>
  <si>
    <t>Ieņēmumi no līdzdalības koncerna meitas un asociēto sabiedrību kapitālos</t>
  </si>
  <si>
    <t>Ieņēmumi no vērtspapīriem un aizdevumiem, kas veidojuši ilgtermiņa ieguldījumus.</t>
  </si>
  <si>
    <t>Pārējie procentu ieņēmumi un tamlīdzīgi ieņēmumi</t>
  </si>
  <si>
    <t>Ilgtermiņa finanšu ieguldījumu un īstermiņa vērtspapīru vērtības norakstīšana.</t>
  </si>
  <si>
    <t>Procentu maksājumi un tamlīdzīgas izmaksas</t>
  </si>
  <si>
    <t>Peļņa pirms ārkārtas posteņiem un nodokļiem</t>
  </si>
  <si>
    <t xml:space="preserve">Ārkārtas ieņēmumi </t>
  </si>
  <si>
    <t>Ārkārtas izmaksas</t>
  </si>
  <si>
    <t>Peļņa pirms nodokļiem</t>
  </si>
  <si>
    <t>Uzņēmuma ienākumu nodoklis par pārskata gadu</t>
  </si>
  <si>
    <t xml:space="preserve">Pārējie nodokļi </t>
  </si>
  <si>
    <t>Pārskata gada peļņa</t>
  </si>
  <si>
    <r>
      <t>I  Naudas plūsmas pārskats</t>
    </r>
    <r>
      <rPr>
        <sz val="12"/>
        <rFont val="Times New Roman"/>
        <family val="1"/>
        <charset val="186"/>
      </rPr>
      <t xml:space="preserve"> , kas sagatavots, izmantojot  tiešo metodi.</t>
    </r>
  </si>
  <si>
    <t>I.Saimnieciskās darbības  naudas plūsma</t>
  </si>
  <si>
    <t>Ieņēmumi</t>
  </si>
  <si>
    <t>Izdevumi</t>
  </si>
  <si>
    <t>Ieņēmumi no preču pārdošanas un pakalpojumu sniegšanas</t>
  </si>
  <si>
    <t>Maksājumi piegādātajiem par precēm un pakalpojumiem</t>
  </si>
  <si>
    <t>Maksājumi darbiniekiem un viņu interesēs vai viņu uzdevumā trešajām personām</t>
  </si>
  <si>
    <t>Pērējie ar saimniecisko darbību saistītie izdevumi</t>
  </si>
  <si>
    <t>Ieņēmumi no pārējās saimnieciskās darbības</t>
  </si>
  <si>
    <t>Izdevumi nodevu maksājumiem</t>
  </si>
  <si>
    <t>Izdevumi nodokļu maksājumiem</t>
  </si>
  <si>
    <t>Ārkārtas ieņēmumi vai ārkārtas izmaksas</t>
  </si>
  <si>
    <t>Kopā:</t>
  </si>
  <si>
    <t>Saimmnieciskās darbības rezultāts ( + pārpalikums; - iztrūkums)</t>
  </si>
  <si>
    <t>II Investīcijdarbības naudas plūsma</t>
  </si>
  <si>
    <t>Ieņēmumi vai izdevumi no uzņēmuma privatizācijas</t>
  </si>
  <si>
    <t>Iegādāti ilgtermiņa vērtpapīri</t>
  </si>
  <si>
    <t>Izdevumi pamatlīdzekļu iegādei</t>
  </si>
  <si>
    <t>Ieņēmumi no pamatlīdzekļu pārdošanas</t>
  </si>
  <si>
    <t>Ieņēmumi no procentiem</t>
  </si>
  <si>
    <t>Ieņēmumi no dividendēm</t>
  </si>
  <si>
    <t>Investīcijdarbības rezultāts( + pārpalikums; - iztrūkums)</t>
  </si>
  <si>
    <t>III Finansiālās darbības naudas plūsma</t>
  </si>
  <si>
    <t>Ieņēmumi vai izdevumi no ilgtermiņa aizdevumiem</t>
  </si>
  <si>
    <t>Ieņēmumi, izdevumi par īstermiņa kredītu</t>
  </si>
  <si>
    <t>Maksājumi par līzingu</t>
  </si>
  <si>
    <t>Samaksāti procenti par ilgtermiņa kredītu</t>
  </si>
  <si>
    <t>Kursu svarstības zaudējumi</t>
  </si>
  <si>
    <t>Saņemta līguma izpildes garantījas nauda</t>
  </si>
  <si>
    <t xml:space="preserve"> Finansiālās darbības rezultāts ( + pārpalikums; - iztrūkums)</t>
  </si>
  <si>
    <t>Naudas ieņēmumu un izdevumu kopsavilkums</t>
  </si>
  <si>
    <t>Rādītāji</t>
  </si>
  <si>
    <t>pārpalikums +; iztrūkums -</t>
  </si>
  <si>
    <t>Saimmnieciskās darbības rezultāts</t>
  </si>
  <si>
    <t>Investīcijdarbības rezultāts</t>
  </si>
  <si>
    <t xml:space="preserve"> Finansiālās darbības rezultāts</t>
  </si>
  <si>
    <t>Naudas ieņēmumu pārsniegums vai pārtēŗiņš</t>
  </si>
  <si>
    <t>Naudas un tās ekvivalentu atlikums pārskata perioda sākumā</t>
  </si>
  <si>
    <t>VI</t>
  </si>
  <si>
    <t>Naudas un tās ekvivalentu atlikums pārskata perioda beigās</t>
  </si>
  <si>
    <t>SIA "Vidusdaugavas SPAAO"  reg.Nr. 55403015551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</si>
</sst>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8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b/>
      <sz val="8"/>
      <color indexed="81"/>
      <name val="Tahoma"/>
      <family val="2"/>
      <charset val="186"/>
    </font>
    <font>
      <b/>
      <i/>
      <sz val="8"/>
      <color indexed="81"/>
      <name val="Tahoma"/>
      <family val="2"/>
      <charset val="186"/>
    </font>
    <font>
      <sz val="8"/>
      <color indexed="81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lightGrid">
        <bgColor indexed="13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7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wrapText="1"/>
    </xf>
    <xf numFmtId="0" fontId="6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6" fillId="2" borderId="6" xfId="0" applyFont="1" applyFill="1" applyBorder="1" applyAlignment="1">
      <alignment horizontal="justify" vertical="center"/>
    </xf>
    <xf numFmtId="0" fontId="6" fillId="0" borderId="12" xfId="0" applyFont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right" vertical="center" wrapText="1"/>
    </xf>
    <xf numFmtId="3" fontId="6" fillId="0" borderId="13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/>
    </xf>
    <xf numFmtId="0" fontId="8" fillId="0" borderId="8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wrapText="1"/>
    </xf>
    <xf numFmtId="0" fontId="6" fillId="0" borderId="8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justify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 wrapText="1"/>
    </xf>
    <xf numFmtId="0" fontId="8" fillId="0" borderId="14" xfId="0" applyFont="1" applyBorder="1" applyAlignment="1">
      <alignment horizontal="left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3" fontId="8" fillId="0" borderId="15" xfId="0" applyNumberFormat="1" applyFont="1" applyBorder="1" applyAlignment="1">
      <alignment horizontal="right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justify" vertical="center" wrapText="1"/>
    </xf>
    <xf numFmtId="0" fontId="8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1" fontId="6" fillId="0" borderId="1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3" borderId="12" xfId="0" applyFont="1" applyFill="1" applyBorder="1" applyAlignment="1" applyProtection="1">
      <alignment horizontal="right" vertical="center" wrapText="1"/>
      <protection locked="0"/>
    </xf>
    <xf numFmtId="0" fontId="6" fillId="3" borderId="13" xfId="0" applyFont="1" applyFill="1" applyBorder="1" applyAlignment="1" applyProtection="1">
      <alignment horizontal="right" vertical="center" wrapText="1"/>
      <protection locked="0"/>
    </xf>
    <xf numFmtId="0" fontId="6" fillId="0" borderId="12" xfId="0" applyFont="1" applyBorder="1" applyAlignment="1">
      <alignment vertical="center"/>
    </xf>
    <xf numFmtId="0" fontId="8" fillId="0" borderId="18" xfId="0" applyFont="1" applyBorder="1" applyAlignment="1">
      <alignment horizontal="left" vertical="center" wrapText="1"/>
    </xf>
    <xf numFmtId="1" fontId="8" fillId="0" borderId="7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justify" vertical="center" wrapText="1"/>
    </xf>
    <xf numFmtId="0" fontId="6" fillId="4" borderId="6" xfId="0" applyFont="1" applyFill="1" applyBorder="1" applyAlignment="1">
      <alignment horizontal="justify" vertical="center"/>
    </xf>
    <xf numFmtId="0" fontId="6" fillId="5" borderId="12" xfId="0" applyFont="1" applyFill="1" applyBorder="1" applyAlignment="1">
      <alignment horizontal="right" vertical="center" wrapText="1"/>
    </xf>
    <xf numFmtId="0" fontId="8" fillId="2" borderId="18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right" vertical="center" wrapText="1"/>
    </xf>
    <xf numFmtId="0" fontId="8" fillId="0" borderId="25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right" vertical="center" wrapText="1"/>
    </xf>
    <xf numFmtId="0" fontId="9" fillId="0" borderId="2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0" fillId="0" borderId="6" xfId="0" applyFont="1" applyBorder="1" applyAlignment="1">
      <alignment vertical="top" wrapText="1"/>
    </xf>
    <xf numFmtId="0" fontId="10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0" fillId="3" borderId="12" xfId="0" applyFont="1" applyFill="1" applyBorder="1" applyAlignment="1" applyProtection="1">
      <alignment horizontal="right" vertical="center" wrapText="1"/>
      <protection locked="0"/>
    </xf>
    <xf numFmtId="0" fontId="10" fillId="3" borderId="13" xfId="0" applyFont="1" applyFill="1" applyBorder="1" applyAlignment="1" applyProtection="1">
      <alignment horizontal="right" vertical="center" wrapText="1"/>
      <protection locked="0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0" fillId="0" borderId="0" xfId="0" applyBorder="1"/>
    <xf numFmtId="0" fontId="13" fillId="2" borderId="0" xfId="0" applyFont="1" applyFill="1" applyBorder="1" applyAlignment="1">
      <alignment horizontal="right"/>
    </xf>
    <xf numFmtId="0" fontId="13" fillId="6" borderId="0" xfId="0" applyFont="1" applyFill="1" applyBorder="1" applyAlignment="1">
      <alignment horizontal="center"/>
    </xf>
    <xf numFmtId="0" fontId="13" fillId="2" borderId="0" xfId="0" applyFont="1" applyFill="1" applyBorder="1"/>
    <xf numFmtId="0" fontId="14" fillId="2" borderId="0" xfId="0" applyFont="1" applyFill="1" applyBorder="1"/>
    <xf numFmtId="0" fontId="14" fillId="2" borderId="0" xfId="0" applyFont="1" applyFill="1" applyBorder="1" applyAlignment="1">
      <alignment horizontal="center" wrapText="1"/>
    </xf>
    <xf numFmtId="0" fontId="14" fillId="2" borderId="0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5" fillId="0" borderId="0" xfId="0" applyFont="1" applyBorder="1"/>
    <xf numFmtId="0" fontId="1" fillId="0" borderId="0" xfId="0" applyFont="1" applyProtection="1"/>
    <xf numFmtId="0" fontId="16" fillId="7" borderId="9" xfId="0" applyFont="1" applyFill="1" applyBorder="1" applyAlignment="1" applyProtection="1">
      <alignment horizontal="right" wrapText="1"/>
    </xf>
    <xf numFmtId="0" fontId="16" fillId="7" borderId="11" xfId="0" applyFont="1" applyFill="1" applyBorder="1" applyAlignment="1" applyProtection="1">
      <alignment horizontal="center" wrapText="1"/>
    </xf>
    <xf numFmtId="0" fontId="11" fillId="7" borderId="6" xfId="0" applyFont="1" applyFill="1" applyBorder="1" applyAlignment="1" applyProtection="1">
      <alignment vertical="top" wrapText="1"/>
      <protection locked="0"/>
    </xf>
    <xf numFmtId="0" fontId="6" fillId="7" borderId="34" xfId="0" applyFont="1" applyFill="1" applyBorder="1" applyAlignment="1" applyProtection="1">
      <alignment horizontal="left" vertical="top" wrapText="1"/>
      <protection locked="0"/>
    </xf>
    <xf numFmtId="0" fontId="6" fillId="7" borderId="6" xfId="0" applyFont="1" applyFill="1" applyBorder="1" applyAlignment="1" applyProtection="1">
      <alignment horizontal="right" vertical="center" wrapText="1"/>
      <protection locked="0"/>
    </xf>
    <xf numFmtId="0" fontId="6" fillId="7" borderId="13" xfId="0" applyFont="1" applyFill="1" applyBorder="1" applyAlignment="1" applyProtection="1">
      <alignment horizontal="right" vertical="center" wrapText="1"/>
      <protection locked="0"/>
    </xf>
    <xf numFmtId="0" fontId="6" fillId="7" borderId="6" xfId="0" applyFont="1" applyFill="1" applyBorder="1" applyAlignment="1" applyProtection="1">
      <alignment horizontal="right" vertical="center"/>
      <protection locked="0"/>
    </xf>
    <xf numFmtId="0" fontId="6" fillId="7" borderId="13" xfId="0" applyFont="1" applyFill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6" fillId="7" borderId="34" xfId="0" applyFont="1" applyFill="1" applyBorder="1" applyAlignment="1" applyProtection="1">
      <alignment vertical="top" wrapText="1"/>
      <protection locked="0"/>
    </xf>
    <xf numFmtId="0" fontId="6" fillId="7" borderId="6" xfId="0" applyFont="1" applyFill="1" applyBorder="1" applyAlignment="1" applyProtection="1">
      <alignment horizontal="right" wrapText="1"/>
      <protection locked="0"/>
    </xf>
    <xf numFmtId="0" fontId="6" fillId="7" borderId="13" xfId="0" applyFont="1" applyFill="1" applyBorder="1" applyAlignment="1" applyProtection="1">
      <alignment horizontal="right" wrapText="1"/>
      <protection locked="0"/>
    </xf>
    <xf numFmtId="0" fontId="6" fillId="7" borderId="6" xfId="0" applyFont="1" applyFill="1" applyBorder="1" applyProtection="1">
      <protection locked="0"/>
    </xf>
    <xf numFmtId="0" fontId="6" fillId="7" borderId="13" xfId="0" applyFont="1" applyFill="1" applyBorder="1" applyProtection="1">
      <protection locked="0"/>
    </xf>
    <xf numFmtId="0" fontId="11" fillId="7" borderId="6" xfId="0" applyFont="1" applyFill="1" applyBorder="1" applyAlignment="1" applyProtection="1">
      <alignment horizontal="right" vertical="top" wrapText="1"/>
      <protection locked="0"/>
    </xf>
    <xf numFmtId="0" fontId="8" fillId="7" borderId="6" xfId="0" applyFont="1" applyFill="1" applyBorder="1" applyAlignment="1" applyProtection="1">
      <alignment horizontal="right" wrapText="1"/>
      <protection locked="0"/>
    </xf>
    <xf numFmtId="0" fontId="8" fillId="7" borderId="13" xfId="0" applyFont="1" applyFill="1" applyBorder="1" applyAlignment="1" applyProtection="1">
      <alignment horizontal="right" wrapText="1"/>
      <protection locked="0"/>
    </xf>
    <xf numFmtId="0" fontId="6" fillId="7" borderId="34" xfId="0" applyFont="1" applyFill="1" applyBorder="1" applyAlignment="1" applyProtection="1">
      <alignment horizontal="left" wrapText="1"/>
      <protection locked="0"/>
    </xf>
    <xf numFmtId="0" fontId="11" fillId="7" borderId="34" xfId="0" applyFont="1" applyFill="1" applyBorder="1" applyAlignment="1" applyProtection="1">
      <alignment vertical="top" wrapText="1"/>
      <protection locked="0"/>
    </xf>
    <xf numFmtId="0" fontId="11" fillId="7" borderId="6" xfId="0" applyFont="1" applyFill="1" applyBorder="1" applyAlignment="1" applyProtection="1">
      <alignment horizontal="right" wrapText="1"/>
      <protection locked="0"/>
    </xf>
    <xf numFmtId="0" fontId="11" fillId="7" borderId="13" xfId="0" applyFont="1" applyFill="1" applyBorder="1" applyAlignment="1" applyProtection="1">
      <alignment horizontal="right" wrapText="1"/>
      <protection locked="0"/>
    </xf>
    <xf numFmtId="0" fontId="1" fillId="7" borderId="6" xfId="0" applyFont="1" applyFill="1" applyBorder="1" applyProtection="1">
      <protection locked="0"/>
    </xf>
    <xf numFmtId="0" fontId="1" fillId="7" borderId="13" xfId="0" applyFont="1" applyFill="1" applyBorder="1" applyProtection="1">
      <protection locked="0"/>
    </xf>
    <xf numFmtId="0" fontId="1" fillId="7" borderId="23" xfId="0" applyFont="1" applyFill="1" applyBorder="1" applyAlignment="1" applyProtection="1">
      <alignment vertical="top" wrapText="1"/>
    </xf>
    <xf numFmtId="0" fontId="16" fillId="7" borderId="35" xfId="0" applyFont="1" applyFill="1" applyBorder="1" applyAlignment="1" applyProtection="1">
      <alignment vertical="top" wrapText="1"/>
    </xf>
    <xf numFmtId="0" fontId="16" fillId="7" borderId="18" xfId="0" applyFont="1" applyFill="1" applyBorder="1" applyAlignment="1" applyProtection="1">
      <alignment horizontal="right" wrapText="1"/>
    </xf>
    <xf numFmtId="0" fontId="16" fillId="7" borderId="17" xfId="0" applyFont="1" applyFill="1" applyBorder="1" applyAlignment="1" applyProtection="1">
      <alignment horizontal="right" wrapText="1"/>
    </xf>
    <xf numFmtId="0" fontId="16" fillId="7" borderId="26" xfId="0" applyFont="1" applyFill="1" applyBorder="1" applyAlignment="1" applyProtection="1">
      <alignment vertical="top" wrapText="1"/>
    </xf>
    <xf numFmtId="0" fontId="16" fillId="7" borderId="20" xfId="0" applyFont="1" applyFill="1" applyBorder="1" applyAlignment="1" applyProtection="1">
      <alignment vertical="top" wrapText="1"/>
    </xf>
    <xf numFmtId="0" fontId="16" fillId="7" borderId="1" xfId="0" applyFont="1" applyFill="1" applyBorder="1" applyAlignment="1" applyProtection="1">
      <alignment horizontal="right" wrapText="1"/>
    </xf>
    <xf numFmtId="0" fontId="16" fillId="7" borderId="19" xfId="0" applyFont="1" applyFill="1" applyBorder="1" applyAlignment="1" applyProtection="1">
      <alignment horizontal="right" wrapText="1"/>
    </xf>
    <xf numFmtId="0" fontId="16" fillId="7" borderId="19" xfId="0" applyFont="1" applyFill="1" applyBorder="1" applyProtection="1"/>
    <xf numFmtId="0" fontId="11" fillId="7" borderId="0" xfId="0" applyFont="1" applyFill="1" applyBorder="1" applyAlignment="1" applyProtection="1">
      <alignment vertical="top" wrapText="1"/>
    </xf>
    <xf numFmtId="0" fontId="11" fillId="7" borderId="0" xfId="0" applyFont="1" applyFill="1" applyBorder="1" applyAlignment="1" applyProtection="1">
      <alignment horizontal="right" wrapText="1"/>
    </xf>
    <xf numFmtId="0" fontId="1" fillId="7" borderId="5" xfId="0" applyFont="1" applyFill="1" applyBorder="1" applyProtection="1"/>
    <xf numFmtId="0" fontId="16" fillId="7" borderId="21" xfId="0" applyFont="1" applyFill="1" applyBorder="1" applyAlignment="1" applyProtection="1">
      <alignment horizontal="right" wrapText="1"/>
    </xf>
    <xf numFmtId="0" fontId="16" fillId="7" borderId="32" xfId="0" applyFont="1" applyFill="1" applyBorder="1" applyAlignment="1" applyProtection="1">
      <alignment horizontal="center" wrapText="1"/>
    </xf>
    <xf numFmtId="0" fontId="16" fillId="7" borderId="36" xfId="0" applyFont="1" applyFill="1" applyBorder="1" applyAlignment="1" applyProtection="1">
      <alignment horizontal="center" wrapText="1"/>
    </xf>
    <xf numFmtId="0" fontId="6" fillId="7" borderId="6" xfId="0" applyFont="1" applyFill="1" applyBorder="1" applyAlignment="1" applyProtection="1">
      <alignment vertical="top" wrapText="1"/>
      <protection locked="0"/>
    </xf>
    <xf numFmtId="3" fontId="6" fillId="7" borderId="6" xfId="0" applyNumberFormat="1" applyFont="1" applyFill="1" applyBorder="1" applyAlignment="1" applyProtection="1">
      <alignment horizontal="right" wrapText="1"/>
      <protection locked="0"/>
    </xf>
    <xf numFmtId="0" fontId="6" fillId="7" borderId="34" xfId="0" applyFont="1" applyFill="1" applyBorder="1" applyAlignment="1" applyProtection="1">
      <alignment horizontal="right" wrapText="1"/>
      <protection locked="0"/>
    </xf>
    <xf numFmtId="0" fontId="8" fillId="7" borderId="34" xfId="0" applyFont="1" applyFill="1" applyBorder="1" applyAlignment="1" applyProtection="1">
      <alignment horizontal="right" wrapText="1"/>
      <protection locked="0"/>
    </xf>
    <xf numFmtId="0" fontId="8" fillId="7" borderId="37" xfId="0" applyFont="1" applyFill="1" applyBorder="1" applyAlignment="1" applyProtection="1">
      <alignment vertical="top" wrapText="1"/>
      <protection locked="0"/>
    </xf>
    <xf numFmtId="0" fontId="8" fillId="7" borderId="38" xfId="0" applyFont="1" applyFill="1" applyBorder="1" applyAlignment="1" applyProtection="1">
      <alignment vertical="top" wrapText="1"/>
      <protection locked="0"/>
    </xf>
    <xf numFmtId="0" fontId="8" fillId="7" borderId="38" xfId="0" applyFont="1" applyFill="1" applyBorder="1" applyAlignment="1" applyProtection="1">
      <alignment horizontal="right" wrapText="1"/>
      <protection locked="0"/>
    </xf>
    <xf numFmtId="3" fontId="16" fillId="7" borderId="18" xfId="0" applyNumberFormat="1" applyFont="1" applyFill="1" applyBorder="1" applyAlignment="1" applyProtection="1">
      <alignment horizontal="right" wrapText="1"/>
    </xf>
    <xf numFmtId="3" fontId="16" fillId="7" borderId="39" xfId="0" applyNumberFormat="1" applyFont="1" applyFill="1" applyBorder="1" applyAlignment="1" applyProtection="1">
      <alignment horizontal="right" wrapText="1"/>
    </xf>
    <xf numFmtId="3" fontId="16" fillId="7" borderId="17" xfId="0" applyNumberFormat="1" applyFont="1" applyFill="1" applyBorder="1" applyAlignment="1" applyProtection="1">
      <alignment horizontal="right" wrapText="1"/>
    </xf>
    <xf numFmtId="0" fontId="16" fillId="7" borderId="22" xfId="0" applyFont="1" applyFill="1" applyBorder="1" applyAlignment="1" applyProtection="1">
      <alignment vertical="top" wrapText="1"/>
    </xf>
    <xf numFmtId="0" fontId="16" fillId="7" borderId="31" xfId="0" applyFont="1" applyFill="1" applyBorder="1" applyAlignment="1" applyProtection="1">
      <alignment vertical="top" wrapText="1"/>
    </xf>
    <xf numFmtId="3" fontId="16" fillId="7" borderId="1" xfId="0" applyNumberFormat="1" applyFont="1" applyFill="1" applyBorder="1" applyAlignment="1" applyProtection="1">
      <alignment horizontal="right" wrapText="1"/>
    </xf>
    <xf numFmtId="0" fontId="16" fillId="7" borderId="40" xfId="0" applyFont="1" applyFill="1" applyBorder="1" applyAlignment="1" applyProtection="1">
      <alignment horizontal="right" wrapText="1"/>
    </xf>
    <xf numFmtId="0" fontId="11" fillId="7" borderId="41" xfId="0" applyFont="1" applyFill="1" applyBorder="1" applyAlignment="1" applyProtection="1">
      <alignment vertical="top" wrapText="1"/>
    </xf>
    <xf numFmtId="0" fontId="1" fillId="7" borderId="0" xfId="0" applyFont="1" applyFill="1" applyBorder="1" applyProtection="1"/>
    <xf numFmtId="0" fontId="1" fillId="7" borderId="42" xfId="0" applyFont="1" applyFill="1" applyBorder="1" applyProtection="1"/>
    <xf numFmtId="0" fontId="16" fillId="7" borderId="21" xfId="0" applyFont="1" applyFill="1" applyBorder="1" applyAlignment="1" applyProtection="1">
      <alignment vertical="top" wrapText="1"/>
    </xf>
    <xf numFmtId="0" fontId="16" fillId="7" borderId="32" xfId="0" applyFont="1" applyFill="1" applyBorder="1" applyAlignment="1" applyProtection="1">
      <alignment vertical="top" wrapText="1"/>
    </xf>
    <xf numFmtId="0" fontId="1" fillId="7" borderId="9" xfId="0" applyFont="1" applyFill="1" applyBorder="1" applyAlignment="1" applyProtection="1">
      <alignment vertical="top" wrapText="1"/>
      <protection locked="0"/>
    </xf>
    <xf numFmtId="0" fontId="16" fillId="7" borderId="33" xfId="0" applyFont="1" applyFill="1" applyBorder="1" applyAlignment="1" applyProtection="1">
      <alignment vertical="top" wrapText="1"/>
      <protection locked="0"/>
    </xf>
    <xf numFmtId="0" fontId="16" fillId="7" borderId="9" xfId="0" applyFont="1" applyFill="1" applyBorder="1" applyAlignment="1" applyProtection="1">
      <alignment horizontal="right" wrapText="1"/>
      <protection locked="0"/>
    </xf>
    <xf numFmtId="0" fontId="16" fillId="7" borderId="11" xfId="0" applyFont="1" applyFill="1" applyBorder="1" applyAlignment="1" applyProtection="1">
      <alignment horizontal="center" wrapText="1"/>
      <protection locked="0"/>
    </xf>
    <xf numFmtId="0" fontId="1" fillId="7" borderId="22" xfId="0" applyFont="1" applyFill="1" applyBorder="1" applyAlignment="1" applyProtection="1">
      <alignment vertical="top" wrapText="1"/>
    </xf>
    <xf numFmtId="0" fontId="1" fillId="7" borderId="31" xfId="0" applyFont="1" applyFill="1" applyBorder="1" applyAlignment="1" applyProtection="1">
      <alignment vertical="top" wrapText="1"/>
    </xf>
    <xf numFmtId="0" fontId="6" fillId="7" borderId="8" xfId="0" applyFont="1" applyFill="1" applyBorder="1" applyAlignment="1" applyProtection="1">
      <alignment vertical="top" wrapText="1"/>
    </xf>
    <xf numFmtId="0" fontId="8" fillId="7" borderId="0" xfId="0" applyFont="1" applyFill="1" applyBorder="1" applyAlignment="1" applyProtection="1">
      <alignment vertical="top" wrapText="1"/>
    </xf>
    <xf numFmtId="3" fontId="6" fillId="7" borderId="9" xfId="0" applyNumberFormat="1" applyFont="1" applyFill="1" applyBorder="1" applyAlignment="1" applyProtection="1">
      <alignment horizontal="right" wrapText="1"/>
    </xf>
    <xf numFmtId="0" fontId="6" fillId="7" borderId="11" xfId="0" applyFont="1" applyFill="1" applyBorder="1" applyAlignment="1" applyProtection="1">
      <alignment horizontal="right" wrapText="1"/>
    </xf>
    <xf numFmtId="0" fontId="6" fillId="7" borderId="11" xfId="0" applyFont="1" applyFill="1" applyBorder="1" applyProtection="1"/>
    <xf numFmtId="0" fontId="6" fillId="7" borderId="8" xfId="0" applyFont="1" applyFill="1" applyBorder="1" applyProtection="1"/>
    <xf numFmtId="3" fontId="6" fillId="7" borderId="6" xfId="0" applyNumberFormat="1" applyFont="1" applyFill="1" applyBorder="1" applyProtection="1"/>
    <xf numFmtId="0" fontId="6" fillId="7" borderId="13" xfId="0" applyFont="1" applyFill="1" applyBorder="1" applyProtection="1"/>
    <xf numFmtId="0" fontId="6" fillId="7" borderId="6" xfId="0" applyFont="1" applyFill="1" applyBorder="1" applyProtection="1"/>
    <xf numFmtId="0" fontId="6" fillId="7" borderId="22" xfId="0" applyFont="1" applyFill="1" applyBorder="1" applyProtection="1"/>
    <xf numFmtId="0" fontId="8" fillId="7" borderId="31" xfId="0" applyFont="1" applyFill="1" applyBorder="1" applyAlignment="1" applyProtection="1">
      <alignment vertical="top" wrapText="1"/>
    </xf>
    <xf numFmtId="3" fontId="6" fillId="7" borderId="23" xfId="0" applyNumberFormat="1" applyFont="1" applyFill="1" applyBorder="1" applyProtection="1"/>
    <xf numFmtId="0" fontId="6" fillId="7" borderId="25" xfId="0" applyFont="1" applyFill="1" applyBorder="1" applyProtection="1"/>
    <xf numFmtId="0" fontId="6" fillId="0" borderId="0" xfId="0" applyFont="1" applyBorder="1" applyProtection="1"/>
    <xf numFmtId="0" fontId="8" fillId="0" borderId="0" xfId="0" applyFont="1" applyBorder="1" applyAlignment="1" applyProtection="1">
      <alignment horizontal="right" wrapText="1"/>
    </xf>
    <xf numFmtId="0" fontId="6" fillId="0" borderId="0" xfId="0" applyFont="1" applyProtection="1"/>
    <xf numFmtId="0" fontId="6" fillId="0" borderId="0" xfId="0" applyFont="1" applyBorder="1" applyAlignment="1" applyProtection="1">
      <alignment horizontal="right" wrapText="1"/>
    </xf>
    <xf numFmtId="0" fontId="20" fillId="0" borderId="0" xfId="0" applyFont="1"/>
    <xf numFmtId="0" fontId="9" fillId="0" borderId="3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left" wrapText="1"/>
    </xf>
    <xf numFmtId="14" fontId="14" fillId="6" borderId="0" xfId="0" applyNumberFormat="1" applyFont="1" applyFill="1" applyBorder="1" applyAlignment="1">
      <alignment horizontal="center"/>
    </xf>
    <xf numFmtId="0" fontId="14" fillId="6" borderId="0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0" fontId="14" fillId="2" borderId="29" xfId="0" applyFont="1" applyFill="1" applyBorder="1" applyAlignment="1">
      <alignment horizontal="center"/>
    </xf>
    <xf numFmtId="0" fontId="14" fillId="2" borderId="28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3" fillId="7" borderId="26" xfId="0" applyFont="1" applyFill="1" applyBorder="1" applyAlignment="1" applyProtection="1">
      <alignment horizontal="center" vertical="top" wrapText="1"/>
    </xf>
    <xf numFmtId="0" fontId="3" fillId="7" borderId="27" xfId="0" applyFont="1" applyFill="1" applyBorder="1" applyAlignment="1" applyProtection="1">
      <alignment horizontal="center" vertical="top" wrapText="1"/>
    </xf>
    <xf numFmtId="0" fontId="7" fillId="0" borderId="31" xfId="0" applyFont="1" applyBorder="1" applyAlignment="1" applyProtection="1">
      <alignment horizontal="center" vertical="center"/>
    </xf>
    <xf numFmtId="0" fontId="16" fillId="7" borderId="21" xfId="0" applyFont="1" applyFill="1" applyBorder="1" applyAlignment="1" applyProtection="1">
      <alignment vertical="top" wrapText="1"/>
    </xf>
    <xf numFmtId="0" fontId="16" fillId="7" borderId="32" xfId="0" applyFont="1" applyFill="1" applyBorder="1" applyAlignment="1" applyProtection="1">
      <alignment vertical="top" wrapText="1"/>
    </xf>
    <xf numFmtId="0" fontId="16" fillId="7" borderId="9" xfId="0" applyFont="1" applyFill="1" applyBorder="1" applyAlignment="1" applyProtection="1">
      <alignment horizontal="center" vertical="top" wrapText="1"/>
    </xf>
    <xf numFmtId="0" fontId="16" fillId="7" borderId="33" xfId="0" applyFont="1" applyFill="1" applyBorder="1" applyAlignment="1" applyProtection="1">
      <alignment horizontal="center" vertical="top" wrapText="1"/>
    </xf>
    <xf numFmtId="0" fontId="1" fillId="7" borderId="8" xfId="0" applyFont="1" applyFill="1" applyBorder="1" applyAlignment="1" applyProtection="1">
      <alignment horizontal="center" wrapText="1"/>
    </xf>
    <xf numFmtId="0" fontId="1" fillId="7" borderId="5" xfId="0" applyFont="1" applyFill="1" applyBorder="1" applyAlignment="1" applyProtection="1">
      <alignment horizontal="center" wrapText="1"/>
    </xf>
    <xf numFmtId="0" fontId="9" fillId="0" borderId="20" xfId="0" applyFont="1" applyBorder="1" applyAlignment="1" applyProtection="1">
      <alignment horizontal="center" wrapText="1"/>
    </xf>
    <xf numFmtId="0" fontId="16" fillId="7" borderId="21" xfId="0" applyFont="1" applyFill="1" applyBorder="1" applyAlignment="1" applyProtection="1">
      <alignment horizontal="center" vertical="top" wrapText="1"/>
    </xf>
    <xf numFmtId="0" fontId="16" fillId="7" borderId="32" xfId="0" applyFont="1" applyFill="1" applyBorder="1" applyAlignment="1" applyProtection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atjana%20&#325;ikitova\Documents\SPAAO\Gada%20p&#257;rskati\GP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lvedis"/>
      <sheetName val="Saturs"/>
      <sheetName val="Ziņas"/>
      <sheetName val="VadZinojums"/>
      <sheetName val="Vad.ziņ.2lapa"/>
      <sheetName val="GrPolitika"/>
      <sheetName val="bilance"/>
      <sheetName val="p.z.apreķins"/>
      <sheetName val="Pašu kapitāla pārskats"/>
      <sheetName val="naudas pl. pārskats"/>
      <sheetName val="p.z.apr.skaidrojumi"/>
      <sheetName val="Ilgt.ieguld.skaidr."/>
      <sheetName val="Krājumu skaidrojums"/>
      <sheetName val="Debitoru skaidrojums"/>
      <sheetName val="Vērtspapīri  un līdzdal."/>
      <sheetName val="Naudas atšifrējums"/>
      <sheetName val="Pašu kapitāla atšifr."/>
      <sheetName val="Uzkrājumu atšifr."/>
      <sheetName val="Kreditori"/>
      <sheetName val="GP-2016"/>
    </sheetNames>
    <definedNames>
      <definedName name="Uz_Bilance"/>
    </definedNames>
    <sheetDataSet>
      <sheetData sheetId="0">
        <row r="30">
          <cell r="C30" t="str">
            <v>Jānis Daģis</v>
          </cell>
        </row>
        <row r="31">
          <cell r="C31" t="str">
            <v>Valdes loceklis</v>
          </cell>
        </row>
        <row r="32">
          <cell r="C32" t="str">
            <v>2016. gads</v>
          </cell>
        </row>
        <row r="33">
          <cell r="C33" t="str">
            <v>2015. gads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61">
          <cell r="E61">
            <v>102320</v>
          </cell>
        </row>
      </sheetData>
      <sheetData sheetId="7">
        <row r="27">
          <cell r="D27">
            <v>-14412</v>
          </cell>
        </row>
      </sheetData>
      <sheetData sheetId="8">
        <row r="20">
          <cell r="D20">
            <v>41910</v>
          </cell>
          <cell r="E20">
            <v>0</v>
          </cell>
          <cell r="F20">
            <v>0</v>
          </cell>
          <cell r="G20">
            <v>0</v>
          </cell>
        </row>
        <row r="35">
          <cell r="D35">
            <v>41910</v>
          </cell>
          <cell r="E35">
            <v>0</v>
          </cell>
          <cell r="F35">
            <v>0</v>
          </cell>
          <cell r="G35">
            <v>0</v>
          </cell>
        </row>
      </sheetData>
      <sheetData sheetId="9">
        <row r="51">
          <cell r="D51">
            <v>140745</v>
          </cell>
        </row>
        <row r="52">
          <cell r="D52">
            <v>102320</v>
          </cell>
        </row>
      </sheetData>
      <sheetData sheetId="10">
        <row r="24">
          <cell r="C24">
            <v>1171337</v>
          </cell>
          <cell r="D24">
            <v>1119801</v>
          </cell>
        </row>
        <row r="50">
          <cell r="C50">
            <v>1022983</v>
          </cell>
          <cell r="D50">
            <v>1023914</v>
          </cell>
        </row>
        <row r="55">
          <cell r="C55">
            <v>0</v>
          </cell>
          <cell r="D55">
            <v>0</v>
          </cell>
        </row>
        <row r="71">
          <cell r="C71">
            <v>83586</v>
          </cell>
          <cell r="D71">
            <v>83839</v>
          </cell>
        </row>
        <row r="79">
          <cell r="C79">
            <v>775609</v>
          </cell>
          <cell r="D79">
            <v>791050</v>
          </cell>
        </row>
        <row r="85">
          <cell r="C85">
            <v>773947</v>
          </cell>
          <cell r="D85">
            <v>791050</v>
          </cell>
        </row>
        <row r="90">
          <cell r="C90">
            <v>0</v>
          </cell>
          <cell r="D90">
            <v>0</v>
          </cell>
        </row>
        <row r="95">
          <cell r="C95">
            <v>0</v>
          </cell>
          <cell r="D95">
            <v>0</v>
          </cell>
        </row>
        <row r="101">
          <cell r="C101">
            <v>0</v>
          </cell>
        </row>
        <row r="106">
          <cell r="C106">
            <v>0</v>
          </cell>
          <cell r="D106">
            <v>0</v>
          </cell>
        </row>
        <row r="116">
          <cell r="C116">
            <v>79696</v>
          </cell>
          <cell r="D116">
            <v>88850</v>
          </cell>
        </row>
        <row r="125">
          <cell r="C125">
            <v>0</v>
          </cell>
          <cell r="D125">
            <v>0</v>
          </cell>
        </row>
        <row r="130">
          <cell r="C130">
            <v>0</v>
          </cell>
          <cell r="D130">
            <v>0</v>
          </cell>
        </row>
        <row r="136">
          <cell r="C136">
            <v>1146</v>
          </cell>
          <cell r="D136">
            <v>851</v>
          </cell>
        </row>
      </sheetData>
      <sheetData sheetId="11">
        <row r="23">
          <cell r="E23">
            <v>0</v>
          </cell>
          <cell r="F23">
            <v>0</v>
          </cell>
          <cell r="G23">
            <v>6679</v>
          </cell>
          <cell r="H23">
            <v>0</v>
          </cell>
          <cell r="I23">
            <v>0</v>
          </cell>
        </row>
        <row r="24">
          <cell r="E24">
            <v>0</v>
          </cell>
          <cell r="F24">
            <v>0</v>
          </cell>
          <cell r="G24">
            <v>2923</v>
          </cell>
          <cell r="H24">
            <v>0</v>
          </cell>
          <cell r="I24">
            <v>0</v>
          </cell>
        </row>
        <row r="44">
          <cell r="E44">
            <v>100333</v>
          </cell>
          <cell r="F44">
            <v>9357408</v>
          </cell>
          <cell r="G44">
            <v>0</v>
          </cell>
          <cell r="H44">
            <v>2810772</v>
          </cell>
          <cell r="I44">
            <v>350898</v>
          </cell>
        </row>
        <row r="45">
          <cell r="E45">
            <v>100333</v>
          </cell>
          <cell r="F45">
            <v>8911202</v>
          </cell>
          <cell r="G45">
            <v>0</v>
          </cell>
          <cell r="H45">
            <v>2555033</v>
          </cell>
          <cell r="I45">
            <v>91432</v>
          </cell>
          <cell r="J45">
            <v>0</v>
          </cell>
          <cell r="K45">
            <v>0</v>
          </cell>
        </row>
        <row r="48">
          <cell r="M48">
            <v>0</v>
          </cell>
        </row>
        <row r="52">
          <cell r="M52">
            <v>0</v>
          </cell>
        </row>
        <row r="55">
          <cell r="M55">
            <v>0</v>
          </cell>
        </row>
        <row r="59">
          <cell r="M59">
            <v>0</v>
          </cell>
        </row>
        <row r="71"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</sheetData>
      <sheetData sheetId="12">
        <row r="7">
          <cell r="D7">
            <v>2483</v>
          </cell>
          <cell r="F7">
            <v>2843</v>
          </cell>
        </row>
        <row r="29">
          <cell r="D29">
            <v>7198</v>
          </cell>
          <cell r="E29">
            <v>0</v>
          </cell>
          <cell r="F29">
            <v>4507</v>
          </cell>
          <cell r="G29">
            <v>0</v>
          </cell>
          <cell r="H29">
            <v>715</v>
          </cell>
          <cell r="I29">
            <v>0</v>
          </cell>
        </row>
        <row r="33">
          <cell r="J33">
            <v>0</v>
          </cell>
        </row>
        <row r="37">
          <cell r="J37">
            <v>0</v>
          </cell>
        </row>
      </sheetData>
      <sheetData sheetId="13">
        <row r="7">
          <cell r="C7">
            <v>206845</v>
          </cell>
          <cell r="D7">
            <v>151755</v>
          </cell>
        </row>
        <row r="36">
          <cell r="D36">
            <v>2618</v>
          </cell>
          <cell r="E36">
            <v>2880</v>
          </cell>
        </row>
        <row r="47">
          <cell r="D47">
            <v>3983</v>
          </cell>
          <cell r="E47">
            <v>3038</v>
          </cell>
        </row>
      </sheetData>
      <sheetData sheetId="14">
        <row r="6">
          <cell r="D6">
            <v>0</v>
          </cell>
          <cell r="E6">
            <v>0</v>
          </cell>
        </row>
        <row r="22">
          <cell r="D22">
            <v>0</v>
          </cell>
          <cell r="E22">
            <v>0</v>
          </cell>
        </row>
        <row r="38">
          <cell r="D38">
            <v>0</v>
          </cell>
          <cell r="E38">
            <v>0</v>
          </cell>
        </row>
        <row r="54">
          <cell r="D54">
            <v>0</v>
          </cell>
          <cell r="E54">
            <v>0</v>
          </cell>
        </row>
      </sheetData>
      <sheetData sheetId="15">
        <row r="20">
          <cell r="D20">
            <v>102320</v>
          </cell>
        </row>
      </sheetData>
      <sheetData sheetId="16"/>
      <sheetData sheetId="17">
        <row r="44">
          <cell r="B44">
            <v>0</v>
          </cell>
          <cell r="F44">
            <v>0</v>
          </cell>
        </row>
        <row r="84">
          <cell r="B84">
            <v>0</v>
          </cell>
          <cell r="F84">
            <v>0</v>
          </cell>
        </row>
        <row r="125">
          <cell r="B125">
            <v>0</v>
          </cell>
          <cell r="F125">
            <v>0</v>
          </cell>
        </row>
      </sheetData>
      <sheetData sheetId="18">
        <row r="13">
          <cell r="C13">
            <v>3446445</v>
          </cell>
          <cell r="D13">
            <v>3603204</v>
          </cell>
        </row>
        <row r="22">
          <cell r="C22">
            <v>8208168</v>
          </cell>
          <cell r="D22">
            <v>8960907</v>
          </cell>
        </row>
        <row r="33">
          <cell r="C33">
            <v>156759</v>
          </cell>
          <cell r="D33">
            <v>156759</v>
          </cell>
        </row>
        <row r="43">
          <cell r="C43">
            <v>18793</v>
          </cell>
          <cell r="D43">
            <v>12926</v>
          </cell>
        </row>
        <row r="56">
          <cell r="C56">
            <v>92820</v>
          </cell>
          <cell r="D56">
            <v>89488</v>
          </cell>
        </row>
        <row r="63">
          <cell r="C63">
            <v>11103</v>
          </cell>
          <cell r="D63">
            <v>10508</v>
          </cell>
        </row>
        <row r="70">
          <cell r="C70">
            <v>718215</v>
          </cell>
          <cell r="D70">
            <v>773946</v>
          </cell>
        </row>
        <row r="83">
          <cell r="D83">
            <v>41099</v>
          </cell>
        </row>
        <row r="88">
          <cell r="C88">
            <v>0</v>
          </cell>
          <cell r="D88">
            <v>0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2"/>
  <sheetViews>
    <sheetView topLeftCell="A88" workbookViewId="0">
      <selection activeCell="J71" sqref="J71"/>
    </sheetView>
  </sheetViews>
  <sheetFormatPr defaultRowHeight="12.75" x14ac:dyDescent="0.2"/>
  <cols>
    <col min="1" max="1" width="7.7109375" style="1" customWidth="1"/>
    <col min="2" max="2" width="8.42578125" style="111" customWidth="1"/>
    <col min="3" max="3" width="48.42578125" style="112" customWidth="1"/>
    <col min="4" max="4" width="9.140625" style="111"/>
    <col min="5" max="5" width="11.7109375" style="112" customWidth="1"/>
    <col min="6" max="6" width="10.5703125" style="112" customWidth="1"/>
    <col min="7" max="7" width="9.140625" style="3"/>
    <col min="8" max="8" width="15" style="3" customWidth="1"/>
    <col min="9" max="9" width="12.7109375" style="3" customWidth="1"/>
    <col min="10" max="16384" width="9.140625" style="3"/>
  </cols>
  <sheetData>
    <row r="2" spans="1:6" ht="15" x14ac:dyDescent="0.25">
      <c r="C2" s="223" t="s">
        <v>171</v>
      </c>
    </row>
    <row r="3" spans="1:6" ht="19.5" customHeight="1" thickBot="1" x14ac:dyDescent="0.25">
      <c r="B3" s="2" t="s">
        <v>0</v>
      </c>
      <c r="C3" s="2"/>
      <c r="D3" s="2"/>
      <c r="E3" s="2"/>
      <c r="F3" s="2"/>
    </row>
    <row r="4" spans="1:6" ht="17.25" customHeight="1" thickBot="1" x14ac:dyDescent="0.25">
      <c r="B4" s="4"/>
      <c r="C4" s="5" t="s">
        <v>1</v>
      </c>
      <c r="D4" s="6" t="s">
        <v>2</v>
      </c>
      <c r="E4" s="6" t="str">
        <f>CONCATENATE("31/12/",LEFT([1]Celvedis!$C$32,4))</f>
        <v>31/12/2016</v>
      </c>
      <c r="F4" s="6" t="str">
        <f>CONCATENATE("31/12/",LEFT([1]Celvedis!$C$33,4))</f>
        <v>31/12/2015</v>
      </c>
    </row>
    <row r="5" spans="1:6" s="14" customFormat="1" ht="18.75" x14ac:dyDescent="0.2">
      <c r="A5" s="7"/>
      <c r="B5" s="8">
        <v>1</v>
      </c>
      <c r="C5" s="9" t="s">
        <v>3</v>
      </c>
      <c r="D5" s="10"/>
      <c r="E5" s="11"/>
      <c r="F5" s="12"/>
    </row>
    <row r="6" spans="1:6" s="14" customFormat="1" thickBot="1" x14ac:dyDescent="0.25">
      <c r="A6" s="7"/>
      <c r="B6" s="15" t="s">
        <v>4</v>
      </c>
      <c r="C6" s="16" t="s">
        <v>5</v>
      </c>
      <c r="D6" s="10"/>
      <c r="E6" s="11"/>
      <c r="F6" s="12"/>
    </row>
    <row r="7" spans="1:6" s="14" customFormat="1" ht="12" x14ac:dyDescent="0.2">
      <c r="A7" s="7"/>
      <c r="B7" s="17"/>
      <c r="C7" s="18" t="s">
        <v>6</v>
      </c>
      <c r="D7" s="19">
        <v>10</v>
      </c>
      <c r="E7" s="20">
        <f>[1]Ilgt.ieguld.skaidr.!E24</f>
        <v>0</v>
      </c>
      <c r="F7" s="21">
        <f>[1]Ilgt.ieguld.skaidr.!E23</f>
        <v>0</v>
      </c>
    </row>
    <row r="8" spans="1:6" s="14" customFormat="1" ht="24" x14ac:dyDescent="0.2">
      <c r="A8" s="7"/>
      <c r="B8" s="17"/>
      <c r="C8" s="22" t="s">
        <v>7</v>
      </c>
      <c r="D8" s="23">
        <v>20</v>
      </c>
      <c r="E8" s="24">
        <f>[1]Ilgt.ieguld.skaidr.!F24</f>
        <v>0</v>
      </c>
      <c r="F8" s="25">
        <f>[1]Ilgt.ieguld.skaidr.!F23</f>
        <v>0</v>
      </c>
    </row>
    <row r="9" spans="1:6" s="14" customFormat="1" ht="12" x14ac:dyDescent="0.2">
      <c r="A9" s="7"/>
      <c r="B9" s="17"/>
      <c r="C9" s="22" t="s">
        <v>8</v>
      </c>
      <c r="D9" s="23">
        <v>21</v>
      </c>
      <c r="E9" s="24">
        <f>[1]Ilgt.ieguld.skaidr.!G24</f>
        <v>2923</v>
      </c>
      <c r="F9" s="25">
        <f>[1]Ilgt.ieguld.skaidr.!G23</f>
        <v>6679</v>
      </c>
    </row>
    <row r="10" spans="1:6" s="14" customFormat="1" ht="12" x14ac:dyDescent="0.2">
      <c r="A10" s="7"/>
      <c r="B10" s="17"/>
      <c r="C10" s="26" t="s">
        <v>9</v>
      </c>
      <c r="D10" s="23">
        <v>30</v>
      </c>
      <c r="E10" s="24">
        <f>[1]Ilgt.ieguld.skaidr.!H24</f>
        <v>0</v>
      </c>
      <c r="F10" s="25">
        <f>[1]Ilgt.ieguld.skaidr.!H23</f>
        <v>0</v>
      </c>
    </row>
    <row r="11" spans="1:6" s="14" customFormat="1" ht="15" customHeight="1" x14ac:dyDescent="0.2">
      <c r="A11" s="7"/>
      <c r="B11" s="17"/>
      <c r="C11" s="22" t="s">
        <v>10</v>
      </c>
      <c r="D11" s="23">
        <v>40</v>
      </c>
      <c r="E11" s="24">
        <f>[1]Ilgt.ieguld.skaidr.!I24</f>
        <v>0</v>
      </c>
      <c r="F11" s="25">
        <f>[1]Ilgt.ieguld.skaidr.!I23</f>
        <v>0</v>
      </c>
    </row>
    <row r="12" spans="1:6" s="14" customFormat="1" thickBot="1" x14ac:dyDescent="0.25">
      <c r="A12" s="7"/>
      <c r="B12" s="17"/>
      <c r="C12" s="27" t="s">
        <v>11</v>
      </c>
      <c r="D12" s="10">
        <v>50</v>
      </c>
      <c r="E12" s="11">
        <f>SUM(E7:E11)</f>
        <v>2923</v>
      </c>
      <c r="F12" s="12">
        <f>SUM(F7:F11)</f>
        <v>6679</v>
      </c>
    </row>
    <row r="13" spans="1:6" s="14" customFormat="1" thickBot="1" x14ac:dyDescent="0.25">
      <c r="A13" s="7"/>
      <c r="B13" s="28" t="s">
        <v>12</v>
      </c>
      <c r="C13" s="29" t="s">
        <v>13</v>
      </c>
      <c r="D13" s="30"/>
      <c r="E13" s="31"/>
      <c r="F13" s="32"/>
    </row>
    <row r="14" spans="1:6" s="14" customFormat="1" ht="12" x14ac:dyDescent="0.2">
      <c r="A14" s="7"/>
      <c r="B14" s="34"/>
      <c r="C14" s="35" t="s">
        <v>14</v>
      </c>
      <c r="D14" s="19">
        <v>60</v>
      </c>
      <c r="E14" s="20">
        <f>[1]Ilgt.ieguld.skaidr.!E45+[1]Ilgt.ieguld.skaidr.!F45</f>
        <v>9011535</v>
      </c>
      <c r="F14" s="21">
        <f>[1]Ilgt.ieguld.skaidr.!E44+[1]Ilgt.ieguld.skaidr.!F44</f>
        <v>9457741</v>
      </c>
    </row>
    <row r="15" spans="1:6" s="14" customFormat="1" ht="12" x14ac:dyDescent="0.2">
      <c r="A15" s="7"/>
      <c r="B15" s="34"/>
      <c r="C15" s="22" t="s">
        <v>15</v>
      </c>
      <c r="D15" s="23">
        <v>70</v>
      </c>
      <c r="E15" s="24">
        <f>[1]Ilgt.ieguld.skaidr.!G45</f>
        <v>0</v>
      </c>
      <c r="F15" s="25">
        <f>[1]Ilgt.ieguld.skaidr.!G44</f>
        <v>0</v>
      </c>
    </row>
    <row r="16" spans="1:6" s="14" customFormat="1" ht="12" x14ac:dyDescent="0.2">
      <c r="A16" s="7"/>
      <c r="B16" s="34"/>
      <c r="C16" s="22" t="s">
        <v>16</v>
      </c>
      <c r="D16" s="23">
        <v>80</v>
      </c>
      <c r="E16" s="24">
        <f>[1]Ilgt.ieguld.skaidr.!H45</f>
        <v>2555033</v>
      </c>
      <c r="F16" s="25">
        <f>[1]Ilgt.ieguld.skaidr.!H44</f>
        <v>2810772</v>
      </c>
    </row>
    <row r="17" spans="1:6" s="14" customFormat="1" ht="12" x14ac:dyDescent="0.2">
      <c r="A17" s="7"/>
      <c r="B17" s="34"/>
      <c r="C17" s="22" t="s">
        <v>17</v>
      </c>
      <c r="D17" s="23">
        <v>90</v>
      </c>
      <c r="E17" s="24">
        <f>[1]Ilgt.ieguld.skaidr.!I45</f>
        <v>91432</v>
      </c>
      <c r="F17" s="25">
        <f>[1]Ilgt.ieguld.skaidr.!I44</f>
        <v>350898</v>
      </c>
    </row>
    <row r="18" spans="1:6" s="14" customFormat="1" ht="12" x14ac:dyDescent="0.2">
      <c r="A18" s="7"/>
      <c r="B18" s="34"/>
      <c r="C18" s="26" t="s">
        <v>18</v>
      </c>
      <c r="D18" s="23">
        <v>100</v>
      </c>
      <c r="E18" s="24">
        <f>[1]Ilgt.ieguld.skaidr.!J45</f>
        <v>0</v>
      </c>
      <c r="F18" s="25">
        <f>[1]Ilgt.ieguld.skaidr.!J44</f>
        <v>0</v>
      </c>
    </row>
    <row r="19" spans="1:6" s="14" customFormat="1" ht="12" x14ac:dyDescent="0.2">
      <c r="A19" s="7"/>
      <c r="B19" s="34"/>
      <c r="C19" s="22" t="s">
        <v>19</v>
      </c>
      <c r="D19" s="23">
        <v>110</v>
      </c>
      <c r="E19" s="24">
        <f>[1]Ilgt.ieguld.skaidr.!K45</f>
        <v>0</v>
      </c>
      <c r="F19" s="25">
        <f>[1]Ilgt.ieguld.skaidr.!K44</f>
        <v>0</v>
      </c>
    </row>
    <row r="20" spans="1:6" s="14" customFormat="1" thickBot="1" x14ac:dyDescent="0.25">
      <c r="A20" s="7"/>
      <c r="B20" s="17"/>
      <c r="C20" s="27" t="s">
        <v>20</v>
      </c>
      <c r="D20" s="10">
        <v>120</v>
      </c>
      <c r="E20" s="11">
        <f>SUM(E14:E19)</f>
        <v>11658000</v>
      </c>
      <c r="F20" s="12">
        <f>SUM(F14:F19)</f>
        <v>12619411</v>
      </c>
    </row>
    <row r="21" spans="1:6" s="14" customFormat="1" thickBot="1" x14ac:dyDescent="0.25">
      <c r="A21" s="7"/>
      <c r="B21" s="36" t="s">
        <v>21</v>
      </c>
      <c r="C21" s="37" t="s">
        <v>22</v>
      </c>
      <c r="D21" s="38">
        <v>130</v>
      </c>
      <c r="E21" s="39">
        <f>[1]Ilgt.ieguld.skaidr.!M52</f>
        <v>0</v>
      </c>
      <c r="F21" s="40">
        <f>[1]Ilgt.ieguld.skaidr.!M48</f>
        <v>0</v>
      </c>
    </row>
    <row r="22" spans="1:6" s="14" customFormat="1" ht="12" x14ac:dyDescent="0.2">
      <c r="A22" s="7"/>
      <c r="B22" s="36" t="s">
        <v>23</v>
      </c>
      <c r="C22" s="37" t="s">
        <v>24</v>
      </c>
      <c r="D22" s="38">
        <v>140</v>
      </c>
      <c r="E22" s="39">
        <f>[1]Ilgt.ieguld.skaidr.!M59</f>
        <v>0</v>
      </c>
      <c r="F22" s="40">
        <f>[1]Ilgt.ieguld.skaidr.!M55</f>
        <v>0</v>
      </c>
    </row>
    <row r="23" spans="1:6" s="14" customFormat="1" thickBot="1" x14ac:dyDescent="0.25">
      <c r="A23" s="7"/>
      <c r="B23" s="15" t="s">
        <v>25</v>
      </c>
      <c r="C23" s="41" t="s">
        <v>26</v>
      </c>
      <c r="D23" s="42"/>
      <c r="E23" s="43"/>
      <c r="F23" s="44"/>
    </row>
    <row r="24" spans="1:6" s="14" customFormat="1" ht="12" x14ac:dyDescent="0.2">
      <c r="A24" s="7"/>
      <c r="B24" s="17"/>
      <c r="C24" s="35" t="s">
        <v>27</v>
      </c>
      <c r="D24" s="19">
        <v>150</v>
      </c>
      <c r="E24" s="20">
        <f>[1]Ilgt.ieguld.skaidr.!E71</f>
        <v>0</v>
      </c>
      <c r="F24" s="21">
        <f>[1]Ilgt.ieguld.skaidr.!E63</f>
        <v>0</v>
      </c>
    </row>
    <row r="25" spans="1:6" s="14" customFormat="1" ht="12" x14ac:dyDescent="0.2">
      <c r="A25" s="7"/>
      <c r="B25" s="17"/>
      <c r="C25" s="26" t="s">
        <v>28</v>
      </c>
      <c r="D25" s="23">
        <v>160</v>
      </c>
      <c r="E25" s="24">
        <f>[1]Ilgt.ieguld.skaidr.!F71</f>
        <v>0</v>
      </c>
      <c r="F25" s="25">
        <f>[1]Ilgt.ieguld.skaidr.!F63</f>
        <v>0</v>
      </c>
    </row>
    <row r="26" spans="1:6" s="14" customFormat="1" ht="12" x14ac:dyDescent="0.2">
      <c r="A26" s="7"/>
      <c r="B26" s="17"/>
      <c r="C26" s="26" t="s">
        <v>29</v>
      </c>
      <c r="D26" s="23">
        <v>170</v>
      </c>
      <c r="E26" s="24">
        <f>[1]Ilgt.ieguld.skaidr.!G71</f>
        <v>0</v>
      </c>
      <c r="F26" s="25">
        <f>[1]Ilgt.ieguld.skaidr.!G63</f>
        <v>0</v>
      </c>
    </row>
    <row r="27" spans="1:6" s="14" customFormat="1" ht="12" x14ac:dyDescent="0.2">
      <c r="A27" s="7"/>
      <c r="B27" s="17"/>
      <c r="C27" s="26" t="s">
        <v>30</v>
      </c>
      <c r="D27" s="23">
        <v>180</v>
      </c>
      <c r="E27" s="24">
        <f>[1]Ilgt.ieguld.skaidr.!H71</f>
        <v>0</v>
      </c>
      <c r="F27" s="25">
        <f>[1]Ilgt.ieguld.skaidr.!H63</f>
        <v>0</v>
      </c>
    </row>
    <row r="28" spans="1:6" s="14" customFormat="1" ht="12" x14ac:dyDescent="0.2">
      <c r="A28" s="7"/>
      <c r="B28" s="17"/>
      <c r="C28" s="22" t="s">
        <v>31</v>
      </c>
      <c r="D28" s="23">
        <v>190</v>
      </c>
      <c r="E28" s="24">
        <f>[1]Ilgt.ieguld.skaidr.!I71</f>
        <v>0</v>
      </c>
      <c r="F28" s="25">
        <f>[1]Ilgt.ieguld.skaidr.!I63</f>
        <v>0</v>
      </c>
    </row>
    <row r="29" spans="1:6" s="14" customFormat="1" ht="12" x14ac:dyDescent="0.2">
      <c r="A29" s="7"/>
      <c r="B29" s="17"/>
      <c r="C29" s="26" t="s">
        <v>32</v>
      </c>
      <c r="D29" s="23">
        <v>200</v>
      </c>
      <c r="E29" s="24">
        <f>[1]Ilgt.ieguld.skaidr.!J71</f>
        <v>0</v>
      </c>
      <c r="F29" s="25">
        <f>[1]Ilgt.ieguld.skaidr.!J63</f>
        <v>0</v>
      </c>
    </row>
    <row r="30" spans="1:6" s="14" customFormat="1" ht="12" x14ac:dyDescent="0.2">
      <c r="A30" s="7"/>
      <c r="B30" s="17"/>
      <c r="C30" s="22" t="s">
        <v>33</v>
      </c>
      <c r="D30" s="23">
        <v>210</v>
      </c>
      <c r="E30" s="24">
        <f>[1]Ilgt.ieguld.skaidr.!K71</f>
        <v>0</v>
      </c>
      <c r="F30" s="25">
        <f>[1]Ilgt.ieguld.skaidr.!K63</f>
        <v>0</v>
      </c>
    </row>
    <row r="31" spans="1:6" s="14" customFormat="1" ht="12" x14ac:dyDescent="0.2">
      <c r="A31" s="7"/>
      <c r="B31" s="17"/>
      <c r="C31" s="26" t="s">
        <v>34</v>
      </c>
      <c r="D31" s="23">
        <v>220</v>
      </c>
      <c r="E31" s="24">
        <f>[1]Ilgt.ieguld.skaidr.!L71</f>
        <v>0</v>
      </c>
      <c r="F31" s="25">
        <f>[1]Ilgt.ieguld.skaidr.!L63</f>
        <v>0</v>
      </c>
    </row>
    <row r="32" spans="1:6" s="14" customFormat="1" thickBot="1" x14ac:dyDescent="0.25">
      <c r="A32" s="7"/>
      <c r="B32" s="17"/>
      <c r="C32" s="45" t="s">
        <v>35</v>
      </c>
      <c r="D32" s="42">
        <v>230</v>
      </c>
      <c r="E32" s="46">
        <f>SUM(E24:E31)</f>
        <v>0</v>
      </c>
      <c r="F32" s="46">
        <f>SUM(F24:F31)</f>
        <v>0</v>
      </c>
    </row>
    <row r="33" spans="1:6" s="14" customFormat="1" thickBot="1" x14ac:dyDescent="0.25">
      <c r="A33" s="7"/>
      <c r="B33" s="36"/>
      <c r="C33" s="47" t="s">
        <v>36</v>
      </c>
      <c r="D33" s="38">
        <v>240</v>
      </c>
      <c r="E33" s="48">
        <f>SUM(E12+E20+E21+E22+E32)</f>
        <v>11660923</v>
      </c>
      <c r="F33" s="49">
        <f>SUM(F12+F20+F21+F22+F32)</f>
        <v>12626090</v>
      </c>
    </row>
    <row r="34" spans="1:6" s="14" customFormat="1" ht="19.5" thickBot="1" x14ac:dyDescent="0.25">
      <c r="A34" s="7"/>
      <c r="B34" s="50">
        <v>2</v>
      </c>
      <c r="C34" s="51" t="s">
        <v>37</v>
      </c>
      <c r="D34" s="38"/>
      <c r="E34" s="39"/>
      <c r="F34" s="40"/>
    </row>
    <row r="35" spans="1:6" s="14" customFormat="1" thickBot="1" x14ac:dyDescent="0.25">
      <c r="A35" s="7"/>
      <c r="B35" s="28" t="s">
        <v>38</v>
      </c>
      <c r="C35" s="51" t="s">
        <v>39</v>
      </c>
      <c r="D35" s="38"/>
      <c r="E35" s="39"/>
      <c r="F35" s="40"/>
    </row>
    <row r="36" spans="1:6" s="14" customFormat="1" ht="12" customHeight="1" x14ac:dyDescent="0.2">
      <c r="A36" s="7"/>
      <c r="B36" s="34"/>
      <c r="C36" s="52" t="s">
        <v>40</v>
      </c>
      <c r="D36" s="19">
        <v>250</v>
      </c>
      <c r="E36" s="53">
        <f>'[1]Krājumu skaidrojums'!D29</f>
        <v>7198</v>
      </c>
      <c r="F36" s="54">
        <f>'[1]Krājumu skaidrojums'!D7</f>
        <v>2483</v>
      </c>
    </row>
    <row r="37" spans="1:6" s="14" customFormat="1" ht="12" customHeight="1" x14ac:dyDescent="0.2">
      <c r="A37" s="7"/>
      <c r="B37" s="34"/>
      <c r="C37" s="22" t="s">
        <v>41</v>
      </c>
      <c r="D37" s="23">
        <v>260</v>
      </c>
      <c r="E37" s="55">
        <f>'[1]Krājumu skaidrojums'!E29</f>
        <v>0</v>
      </c>
      <c r="F37" s="56">
        <f>'[1]Krājumu skaidrojums'!E7</f>
        <v>0</v>
      </c>
    </row>
    <row r="38" spans="1:6" s="14" customFormat="1" ht="12" customHeight="1" x14ac:dyDescent="0.2">
      <c r="A38" s="7"/>
      <c r="B38" s="34"/>
      <c r="C38" s="22" t="s">
        <v>42</v>
      </c>
      <c r="D38" s="23">
        <v>270</v>
      </c>
      <c r="E38" s="55">
        <f>'[1]Krājumu skaidrojums'!F29</f>
        <v>4507</v>
      </c>
      <c r="F38" s="56">
        <f>'[1]Krājumu skaidrojums'!F7</f>
        <v>2843</v>
      </c>
    </row>
    <row r="39" spans="1:6" s="14" customFormat="1" ht="12" customHeight="1" x14ac:dyDescent="0.2">
      <c r="A39" s="7"/>
      <c r="B39" s="34"/>
      <c r="C39" s="22" t="s">
        <v>43</v>
      </c>
      <c r="D39" s="23">
        <v>280</v>
      </c>
      <c r="E39" s="55">
        <f>'[1]Krājumu skaidrojums'!G29</f>
        <v>0</v>
      </c>
      <c r="F39" s="56">
        <f>'[1]Krājumu skaidrojums'!G7</f>
        <v>0</v>
      </c>
    </row>
    <row r="40" spans="1:6" s="14" customFormat="1" ht="12" customHeight="1" x14ac:dyDescent="0.2">
      <c r="A40" s="7"/>
      <c r="B40" s="34"/>
      <c r="C40" s="22" t="s">
        <v>44</v>
      </c>
      <c r="D40" s="23">
        <v>290</v>
      </c>
      <c r="E40" s="55">
        <f>'[1]Krājumu skaidrojums'!H29</f>
        <v>715</v>
      </c>
      <c r="F40" s="56">
        <f>'[1]Krājumu skaidrojums'!H7</f>
        <v>0</v>
      </c>
    </row>
    <row r="41" spans="1:6" s="14" customFormat="1" ht="12" customHeight="1" x14ac:dyDescent="0.2">
      <c r="A41" s="7"/>
      <c r="B41" s="34"/>
      <c r="C41" s="22" t="s">
        <v>45</v>
      </c>
      <c r="D41" s="23">
        <v>300</v>
      </c>
      <c r="E41" s="55">
        <f>'[1]Krājumu skaidrojums'!I29</f>
        <v>0</v>
      </c>
      <c r="F41" s="56">
        <f>'[1]Krājumu skaidrojums'!I7</f>
        <v>0</v>
      </c>
    </row>
    <row r="42" spans="1:6" s="14" customFormat="1" thickBot="1" x14ac:dyDescent="0.25">
      <c r="A42" s="7"/>
      <c r="B42" s="34"/>
      <c r="C42" s="45" t="s">
        <v>11</v>
      </c>
      <c r="D42" s="42">
        <v>310</v>
      </c>
      <c r="E42" s="43">
        <f>SUM(E36:E41)</f>
        <v>12420</v>
      </c>
      <c r="F42" s="44">
        <f>SUM(F36:F41)</f>
        <v>5326</v>
      </c>
    </row>
    <row r="43" spans="1:6" s="14" customFormat="1" thickBot="1" x14ac:dyDescent="0.25">
      <c r="A43" s="7"/>
      <c r="B43" s="36" t="s">
        <v>46</v>
      </c>
      <c r="C43" s="37" t="s">
        <v>47</v>
      </c>
      <c r="D43" s="38">
        <v>320</v>
      </c>
      <c r="E43" s="39">
        <f>'[1]Krājumu skaidrojums'!J33</f>
        <v>0</v>
      </c>
      <c r="F43" s="40">
        <f>'[1]Krājumu skaidrojums'!J37</f>
        <v>0</v>
      </c>
    </row>
    <row r="44" spans="1:6" s="14" customFormat="1" thickBot="1" x14ac:dyDescent="0.25">
      <c r="A44" s="7"/>
      <c r="B44" s="28" t="s">
        <v>48</v>
      </c>
      <c r="C44" s="51" t="s">
        <v>49</v>
      </c>
      <c r="D44" s="38"/>
      <c r="E44" s="39"/>
      <c r="F44" s="40"/>
    </row>
    <row r="45" spans="1:6" s="14" customFormat="1" ht="12" customHeight="1" x14ac:dyDescent="0.2">
      <c r="A45" s="7"/>
      <c r="B45" s="34"/>
      <c r="C45" s="52" t="s">
        <v>50</v>
      </c>
      <c r="D45" s="19">
        <v>330</v>
      </c>
      <c r="E45" s="53">
        <f>IF(ISREF(Deb_C7),Deb_C7,0)</f>
        <v>206845</v>
      </c>
      <c r="F45" s="54">
        <f>IF(ISREF(Deb_D7),Deb_D7,0)</f>
        <v>151755</v>
      </c>
    </row>
    <row r="46" spans="1:6" s="14" customFormat="1" ht="12" customHeight="1" x14ac:dyDescent="0.2">
      <c r="A46" s="7"/>
      <c r="B46" s="34"/>
      <c r="C46" s="22" t="s">
        <v>51</v>
      </c>
      <c r="D46" s="23">
        <v>340</v>
      </c>
      <c r="E46" s="55">
        <f>IF(ISREF(Deb_C24),Deb_C24,0)</f>
        <v>0</v>
      </c>
      <c r="F46" s="56">
        <f>IF(ISREF(Deb_D24),Deb_D24,0)</f>
        <v>0</v>
      </c>
    </row>
    <row r="47" spans="1:6" s="14" customFormat="1" ht="12" customHeight="1" x14ac:dyDescent="0.2">
      <c r="A47" s="7"/>
      <c r="B47" s="34"/>
      <c r="C47" s="22" t="s">
        <v>52</v>
      </c>
      <c r="D47" s="23">
        <v>350</v>
      </c>
      <c r="E47" s="55">
        <f>IF(ISREF(Deb_C40),Deb_C40,0)</f>
        <v>0</v>
      </c>
      <c r="F47" s="56">
        <f>IF(ISREF(Deb_D40),Deb_D40,0)</f>
        <v>0</v>
      </c>
    </row>
    <row r="48" spans="1:6" s="14" customFormat="1" ht="12" customHeight="1" x14ac:dyDescent="0.2">
      <c r="A48" s="7"/>
      <c r="B48" s="34"/>
      <c r="C48" s="57" t="s">
        <v>53</v>
      </c>
      <c r="D48" s="23">
        <v>360</v>
      </c>
      <c r="E48" s="55">
        <f>IF(ISREF(Deb_D56),Deb_D56,0)</f>
        <v>2618</v>
      </c>
      <c r="F48" s="56">
        <f>IF(ISREF(Deb_E56),Deb_E56,0)</f>
        <v>2880</v>
      </c>
    </row>
    <row r="49" spans="1:10" s="14" customFormat="1" ht="12" customHeight="1" x14ac:dyDescent="0.2">
      <c r="A49" s="7"/>
      <c r="B49" s="34"/>
      <c r="C49" s="22" t="s">
        <v>54</v>
      </c>
      <c r="D49" s="23">
        <v>370</v>
      </c>
      <c r="E49" s="55">
        <f>IF(ISREF(Deb_D75),Deb_D75,0)</f>
        <v>0</v>
      </c>
      <c r="F49" s="56">
        <f>IF(ISREF(Deb_E75),Deb_E75,0)</f>
        <v>0</v>
      </c>
    </row>
    <row r="50" spans="1:10" s="14" customFormat="1" ht="12" customHeight="1" x14ac:dyDescent="0.2">
      <c r="A50" s="7"/>
      <c r="B50" s="34"/>
      <c r="C50" s="22" t="s">
        <v>55</v>
      </c>
      <c r="D50" s="23">
        <v>380</v>
      </c>
      <c r="E50" s="55">
        <f>IF(ISREF(Deb_D91),Deb_D91,0)</f>
        <v>0</v>
      </c>
      <c r="F50" s="56">
        <f>IF(ISREF(Deb_E91),Deb_E91,0)</f>
        <v>0</v>
      </c>
    </row>
    <row r="51" spans="1:10" s="14" customFormat="1" ht="12" customHeight="1" x14ac:dyDescent="0.2">
      <c r="A51" s="7"/>
      <c r="B51" s="34"/>
      <c r="C51" s="57" t="s">
        <v>56</v>
      </c>
      <c r="D51" s="23">
        <v>390</v>
      </c>
      <c r="E51" s="55">
        <f>IF(ISREF(Deb_D107),Deb_D107,0)</f>
        <v>3983</v>
      </c>
      <c r="F51" s="56">
        <f>IF(ISREF(Deb_E107),Deb_E107,0)</f>
        <v>3038</v>
      </c>
    </row>
    <row r="52" spans="1:10" s="14" customFormat="1" ht="12" customHeight="1" x14ac:dyDescent="0.2">
      <c r="A52" s="7"/>
      <c r="B52" s="34"/>
      <c r="C52" s="26" t="s">
        <v>57</v>
      </c>
      <c r="D52" s="23">
        <v>400</v>
      </c>
      <c r="E52" s="55">
        <f>IF(ISREF(Deb_D123),Deb_D123,0)</f>
        <v>0</v>
      </c>
      <c r="F52" s="56">
        <f>IF(ISREF(Deb_E123),Deb_E123,0)</f>
        <v>0</v>
      </c>
    </row>
    <row r="53" spans="1:10" s="14" customFormat="1" thickBot="1" x14ac:dyDescent="0.25">
      <c r="A53" s="7"/>
      <c r="B53" s="17"/>
      <c r="C53" s="45" t="s">
        <v>35</v>
      </c>
      <c r="D53" s="42">
        <v>410</v>
      </c>
      <c r="E53" s="43">
        <f>SUM(E45:E52)</f>
        <v>213446</v>
      </c>
      <c r="F53" s="44">
        <f>SUM(F45:F52)</f>
        <v>157673</v>
      </c>
    </row>
    <row r="54" spans="1:10" s="14" customFormat="1" thickBot="1" x14ac:dyDescent="0.25">
      <c r="A54" s="7"/>
      <c r="B54" s="28" t="s">
        <v>23</v>
      </c>
      <c r="C54" s="58" t="s">
        <v>58</v>
      </c>
      <c r="D54" s="59"/>
      <c r="E54" s="59"/>
      <c r="F54" s="60"/>
    </row>
    <row r="55" spans="1:10" s="14" customFormat="1" ht="12" customHeight="1" x14ac:dyDescent="0.2">
      <c r="A55" s="7"/>
      <c r="B55" s="17"/>
      <c r="C55" s="35" t="s">
        <v>27</v>
      </c>
      <c r="D55" s="61">
        <v>420</v>
      </c>
      <c r="E55" s="53">
        <f>IF(ISREF(Akc_D6),Akc_D6,0)</f>
        <v>0</v>
      </c>
      <c r="F55" s="54">
        <f>IF(ISREF(Akc_E6),Akc_E6,0)</f>
        <v>0</v>
      </c>
    </row>
    <row r="56" spans="1:10" s="14" customFormat="1" ht="12" customHeight="1" x14ac:dyDescent="0.2">
      <c r="A56" s="7"/>
      <c r="B56" s="17"/>
      <c r="C56" s="22" t="s">
        <v>59</v>
      </c>
      <c r="D56" s="62">
        <v>430</v>
      </c>
      <c r="E56" s="55">
        <f>IF(ISREF(Akc_D22),Akc_D22,0)</f>
        <v>0</v>
      </c>
      <c r="F56" s="56">
        <f>IF(ISREF(Akc_E22),Akc_E22,0)</f>
        <v>0</v>
      </c>
    </row>
    <row r="57" spans="1:10" s="14" customFormat="1" ht="12" customHeight="1" x14ac:dyDescent="0.2">
      <c r="A57" s="7"/>
      <c r="B57" s="17"/>
      <c r="C57" s="22" t="s">
        <v>60</v>
      </c>
      <c r="D57" s="62">
        <v>440</v>
      </c>
      <c r="E57" s="55">
        <f>IF(ISREF(Akc_D38),Akc_D38,0)</f>
        <v>0</v>
      </c>
      <c r="F57" s="56">
        <f>IF(ISREF(Akc_E38),Akc_E38,0)</f>
        <v>0</v>
      </c>
    </row>
    <row r="58" spans="1:10" s="14" customFormat="1" ht="12" customHeight="1" x14ac:dyDescent="0.2">
      <c r="A58" s="7"/>
      <c r="B58" s="17"/>
      <c r="C58" s="26" t="s">
        <v>61</v>
      </c>
      <c r="D58" s="62">
        <v>450</v>
      </c>
      <c r="E58" s="55">
        <f>IF(ISREF(Akc_D54),Akc_D54,0)</f>
        <v>0</v>
      </c>
      <c r="F58" s="56">
        <f>IF(ISREF(Akc_E54),Akc_E54,0)</f>
        <v>0</v>
      </c>
    </row>
    <row r="59" spans="1:10" s="14" customFormat="1" thickBot="1" x14ac:dyDescent="0.25">
      <c r="A59" s="7"/>
      <c r="B59" s="17"/>
      <c r="C59" s="45" t="s">
        <v>62</v>
      </c>
      <c r="D59" s="63">
        <v>460</v>
      </c>
      <c r="E59" s="43">
        <f>SUM(E55:E58)</f>
        <v>0</v>
      </c>
      <c r="F59" s="44">
        <f>SUM(F55:F58)</f>
        <v>0</v>
      </c>
    </row>
    <row r="60" spans="1:10" s="14" customFormat="1" thickBot="1" x14ac:dyDescent="0.25">
      <c r="A60" s="7"/>
      <c r="B60" s="36" t="s">
        <v>25</v>
      </c>
      <c r="C60" s="51" t="s">
        <v>63</v>
      </c>
      <c r="D60" s="38">
        <v>470</v>
      </c>
      <c r="E60" s="48">
        <f>'[1]naudas pl. pārskats'!D52</f>
        <v>102320</v>
      </c>
      <c r="F60" s="40">
        <f>'[1]naudas pl. pārskats'!D51</f>
        <v>140745</v>
      </c>
    </row>
    <row r="61" spans="1:10" s="14" customFormat="1" thickBot="1" x14ac:dyDescent="0.25">
      <c r="A61" s="7"/>
      <c r="B61" s="36"/>
      <c r="C61" s="47" t="s">
        <v>64</v>
      </c>
      <c r="D61" s="38">
        <v>480</v>
      </c>
      <c r="E61" s="39">
        <f>SUM(E42,E53,E60,E59)</f>
        <v>328186</v>
      </c>
      <c r="F61" s="40">
        <f>SUM(F42,F53,F60,F59)</f>
        <v>303744</v>
      </c>
    </row>
    <row r="62" spans="1:10" s="14" customFormat="1" ht="15" thickBot="1" x14ac:dyDescent="0.25">
      <c r="A62" s="7"/>
      <c r="B62" s="28"/>
      <c r="C62" s="64" t="s">
        <v>65</v>
      </c>
      <c r="D62" s="65">
        <v>490</v>
      </c>
      <c r="E62" s="66">
        <f>SUM(E33,E61,)</f>
        <v>11989109</v>
      </c>
      <c r="F62" s="67">
        <f>SUM(F33,F61,)</f>
        <v>12929834</v>
      </c>
      <c r="G62" s="68"/>
      <c r="H62" s="33"/>
      <c r="I62" s="33"/>
    </row>
    <row r="63" spans="1:10" s="14" customFormat="1" ht="28.5" customHeight="1" thickBot="1" x14ac:dyDescent="0.25">
      <c r="A63" s="7"/>
      <c r="B63" s="69"/>
      <c r="C63" s="69"/>
      <c r="D63" s="69"/>
      <c r="E63" s="69"/>
      <c r="F63" s="69"/>
      <c r="G63" s="68"/>
      <c r="H63" s="33"/>
      <c r="I63" s="33"/>
    </row>
    <row r="64" spans="1:10" ht="17.45" customHeight="1" thickBot="1" x14ac:dyDescent="0.3">
      <c r="B64" s="70"/>
      <c r="C64" s="71" t="s">
        <v>66</v>
      </c>
      <c r="D64" s="6" t="s">
        <v>2</v>
      </c>
      <c r="E64" s="6" t="str">
        <f>CONCATENATE("31/12/",LEFT([1]Celvedis!$C$32,4))</f>
        <v>31/12/2016</v>
      </c>
      <c r="F64" s="6" t="str">
        <f>CONCATENATE("31/12/",LEFT([1]Celvedis!$C$33,4))</f>
        <v>31/12/2015</v>
      </c>
      <c r="G64" s="72"/>
      <c r="H64" s="73"/>
      <c r="I64" s="73"/>
      <c r="J64" s="1"/>
    </row>
    <row r="65" spans="1:10" s="14" customFormat="1" ht="19.5" thickBot="1" x14ac:dyDescent="0.25">
      <c r="A65" s="7"/>
      <c r="B65" s="74">
        <v>1</v>
      </c>
      <c r="C65" s="75" t="s">
        <v>67</v>
      </c>
      <c r="D65" s="10"/>
      <c r="E65" s="11"/>
      <c r="F65" s="12"/>
      <c r="G65" s="68"/>
      <c r="H65" s="33"/>
      <c r="I65" s="33"/>
      <c r="J65" s="7"/>
    </row>
    <row r="66" spans="1:10" s="14" customFormat="1" ht="12" x14ac:dyDescent="0.2">
      <c r="A66" s="7"/>
      <c r="B66" s="76"/>
      <c r="C66" s="77" t="s">
        <v>68</v>
      </c>
      <c r="D66" s="19">
        <v>500</v>
      </c>
      <c r="E66" s="78">
        <f>'[1]Pašu kapitāla pārskats'!D35</f>
        <v>41910</v>
      </c>
      <c r="F66" s="54">
        <f>'[1]Pašu kapitāla pārskats'!D20</f>
        <v>41910</v>
      </c>
      <c r="G66" s="79"/>
      <c r="H66" s="13"/>
      <c r="I66" s="13"/>
      <c r="J66" s="7"/>
    </row>
    <row r="67" spans="1:10" s="14" customFormat="1" ht="12" x14ac:dyDescent="0.2">
      <c r="A67" s="7"/>
      <c r="B67" s="80"/>
      <c r="C67" s="22" t="s">
        <v>69</v>
      </c>
      <c r="D67" s="23">
        <v>510</v>
      </c>
      <c r="E67" s="81">
        <f>'[1]Pašu kapitāla pārskats'!E35</f>
        <v>0</v>
      </c>
      <c r="F67" s="56">
        <f>'[1]Pašu kapitāla pārskats'!E20</f>
        <v>0</v>
      </c>
      <c r="G67" s="79"/>
      <c r="H67" s="13"/>
      <c r="I67" s="13"/>
      <c r="J67" s="7"/>
    </row>
    <row r="68" spans="1:10" s="14" customFormat="1" ht="12" x14ac:dyDescent="0.2">
      <c r="A68" s="7"/>
      <c r="B68" s="80"/>
      <c r="C68" s="26" t="s">
        <v>70</v>
      </c>
      <c r="D68" s="23">
        <v>520</v>
      </c>
      <c r="E68" s="81">
        <f>'[1]Pašu kapitāla pārskats'!F35</f>
        <v>0</v>
      </c>
      <c r="F68" s="56">
        <f>'[1]Pašu kapitāla pārskats'!F20</f>
        <v>0</v>
      </c>
      <c r="G68" s="79"/>
      <c r="H68" s="13"/>
      <c r="I68" s="13"/>
      <c r="J68" s="7"/>
    </row>
    <row r="69" spans="1:10" s="14" customFormat="1" ht="12" x14ac:dyDescent="0.2">
      <c r="A69" s="7"/>
      <c r="B69" s="80"/>
      <c r="C69" s="26" t="s">
        <v>71</v>
      </c>
      <c r="D69" s="23">
        <v>530</v>
      </c>
      <c r="E69" s="81">
        <f>'[1]Pašu kapitāla pārskats'!G35</f>
        <v>0</v>
      </c>
      <c r="F69" s="56">
        <f>'[1]Pašu kapitāla pārskats'!G20</f>
        <v>0</v>
      </c>
      <c r="G69" s="79"/>
      <c r="H69" s="13"/>
      <c r="I69" s="13"/>
      <c r="J69" s="7"/>
    </row>
    <row r="70" spans="1:10" s="14" customFormat="1" ht="12" x14ac:dyDescent="0.2">
      <c r="A70" s="7"/>
      <c r="B70" s="80"/>
      <c r="C70" s="57" t="s">
        <v>72</v>
      </c>
      <c r="D70" s="23"/>
      <c r="E70" s="82"/>
      <c r="F70" s="83"/>
      <c r="G70" s="7"/>
      <c r="H70" s="7"/>
      <c r="I70" s="7"/>
      <c r="J70" s="7"/>
    </row>
    <row r="71" spans="1:10" s="14" customFormat="1" ht="12" x14ac:dyDescent="0.2">
      <c r="A71" s="7"/>
      <c r="B71" s="80"/>
      <c r="C71" s="57" t="s">
        <v>73</v>
      </c>
      <c r="D71" s="23">
        <v>540</v>
      </c>
      <c r="E71" s="55">
        <f>IF(ISREF(Pasu_Kap_AtshD68),Pasu_Kap_AtshD68,0)</f>
        <v>0</v>
      </c>
      <c r="F71" s="56">
        <f>IF(ISREF(Pasu_Kap_AtshD58),Pasu_Kap_AtshD58,0)</f>
        <v>0</v>
      </c>
      <c r="G71" s="7"/>
      <c r="H71" s="7"/>
      <c r="I71" s="7"/>
      <c r="J71" s="7"/>
    </row>
    <row r="72" spans="1:10" s="14" customFormat="1" ht="12" x14ac:dyDescent="0.2">
      <c r="A72" s="7"/>
      <c r="B72" s="80"/>
      <c r="C72" s="22" t="s">
        <v>74</v>
      </c>
      <c r="D72" s="23">
        <v>550</v>
      </c>
      <c r="E72" s="55">
        <f>IF(ISREF(PKA_D83),PKA_D83,0)</f>
        <v>0</v>
      </c>
      <c r="F72" s="56">
        <f>IF(ISREF(PKA_D73),PKA_D73,0)</f>
        <v>0</v>
      </c>
      <c r="G72" s="7"/>
      <c r="H72" s="7"/>
      <c r="I72" s="7"/>
      <c r="J72" s="7"/>
    </row>
    <row r="73" spans="1:10" s="14" customFormat="1" ht="12" x14ac:dyDescent="0.2">
      <c r="A73" s="7"/>
      <c r="B73" s="80"/>
      <c r="C73" s="22" t="s">
        <v>75</v>
      </c>
      <c r="D73" s="23">
        <v>560</v>
      </c>
      <c r="E73" s="55">
        <f>IF(ISREF(PKA_D98),PKA_D98,0)</f>
        <v>0</v>
      </c>
      <c r="F73" s="56">
        <f>IF(ISREF(PKA_D88),PKA_D88,0)</f>
        <v>0</v>
      </c>
    </row>
    <row r="74" spans="1:10" s="14" customFormat="1" ht="12" x14ac:dyDescent="0.2">
      <c r="A74" s="7"/>
      <c r="B74" s="80"/>
      <c r="C74" s="57" t="s">
        <v>76</v>
      </c>
      <c r="D74" s="23">
        <v>570</v>
      </c>
      <c r="E74" s="55">
        <v>1</v>
      </c>
      <c r="F74" s="56">
        <v>1</v>
      </c>
    </row>
    <row r="75" spans="1:10" s="14" customFormat="1" ht="12" x14ac:dyDescent="0.2">
      <c r="A75" s="7"/>
      <c r="B75" s="80"/>
      <c r="C75" s="84" t="s">
        <v>77</v>
      </c>
      <c r="D75" s="85">
        <v>580</v>
      </c>
      <c r="E75" s="82">
        <f>SUM(E71:E74)</f>
        <v>1</v>
      </c>
      <c r="F75" s="82">
        <f>SUM(F71:F74)</f>
        <v>1</v>
      </c>
    </row>
    <row r="76" spans="1:10" s="14" customFormat="1" ht="12" x14ac:dyDescent="0.2">
      <c r="A76" s="7"/>
      <c r="B76" s="80"/>
      <c r="C76" s="57" t="s">
        <v>78</v>
      </c>
      <c r="D76" s="85"/>
      <c r="E76" s="82"/>
      <c r="F76" s="83"/>
    </row>
    <row r="77" spans="1:10" s="14" customFormat="1" ht="12" x14ac:dyDescent="0.2">
      <c r="A77" s="7"/>
      <c r="B77" s="80"/>
      <c r="C77" s="57" t="s">
        <v>79</v>
      </c>
      <c r="D77" s="23">
        <v>590</v>
      </c>
      <c r="E77" s="86">
        <v>-760914</v>
      </c>
      <c r="F77" s="87">
        <v>-683261</v>
      </c>
    </row>
    <row r="78" spans="1:10" s="14" customFormat="1" ht="12" x14ac:dyDescent="0.2">
      <c r="A78" s="7"/>
      <c r="B78" s="80"/>
      <c r="C78" s="57" t="s">
        <v>80</v>
      </c>
      <c r="D78" s="23">
        <v>600</v>
      </c>
      <c r="E78" s="88">
        <f>[1]p.z.apreķins!D27</f>
        <v>-14412</v>
      </c>
      <c r="F78" s="87">
        <v>-77653</v>
      </c>
    </row>
    <row r="79" spans="1:10" s="14" customFormat="1" thickBot="1" x14ac:dyDescent="0.25">
      <c r="A79" s="7"/>
      <c r="B79" s="80"/>
      <c r="C79" s="89" t="s">
        <v>81</v>
      </c>
      <c r="D79" s="42">
        <v>610</v>
      </c>
      <c r="E79" s="90">
        <f>SUM(E66+E67+E68+E69+E75+E77+E78)</f>
        <v>-733415</v>
      </c>
      <c r="F79" s="44">
        <f>SUM(F66+F67+F68+F69+F75+F77+F78)</f>
        <v>-719003</v>
      </c>
    </row>
    <row r="80" spans="1:10" s="14" customFormat="1" ht="19.5" thickBot="1" x14ac:dyDescent="0.25">
      <c r="A80" s="7"/>
      <c r="B80" s="74">
        <v>2</v>
      </c>
      <c r="C80" s="29" t="s">
        <v>82</v>
      </c>
      <c r="D80" s="38"/>
      <c r="E80" s="39"/>
      <c r="F80" s="40"/>
    </row>
    <row r="81" spans="1:6" s="14" customFormat="1" ht="12" x14ac:dyDescent="0.2">
      <c r="A81" s="7"/>
      <c r="B81" s="80"/>
      <c r="C81" s="35" t="s">
        <v>83</v>
      </c>
      <c r="D81" s="19">
        <v>620</v>
      </c>
      <c r="E81" s="54">
        <f>IF(ISREF(CelleF41),CelleF41,0)</f>
        <v>0</v>
      </c>
      <c r="F81" s="54">
        <f>IF(ISREF(CelleB41),CelleB41,0)</f>
        <v>0</v>
      </c>
    </row>
    <row r="82" spans="1:6" s="14" customFormat="1" ht="12" x14ac:dyDescent="0.2">
      <c r="A82" s="7"/>
      <c r="B82" s="80"/>
      <c r="C82" s="22" t="s">
        <v>84</v>
      </c>
      <c r="D82" s="23">
        <v>630</v>
      </c>
      <c r="E82" s="55">
        <f>IF(ISREF(CelleF78),CelleF78,0)</f>
        <v>0</v>
      </c>
      <c r="F82" s="56">
        <f>IF(ISREF(CelleB78),CelleB78,0)</f>
        <v>0</v>
      </c>
    </row>
    <row r="83" spans="1:6" s="14" customFormat="1" ht="12" x14ac:dyDescent="0.2">
      <c r="A83" s="7"/>
      <c r="B83" s="80"/>
      <c r="C83" s="22" t="s">
        <v>85</v>
      </c>
      <c r="D83" s="23">
        <v>640</v>
      </c>
      <c r="E83" s="55">
        <f>IF(ISREF(CelleF116),CelleF116,0)</f>
        <v>0</v>
      </c>
      <c r="F83" s="56">
        <f>IF(ISREF(CelleB116),CelleB116,0)</f>
        <v>0</v>
      </c>
    </row>
    <row r="84" spans="1:6" s="14" customFormat="1" thickBot="1" x14ac:dyDescent="0.25">
      <c r="A84" s="7"/>
      <c r="B84" s="80"/>
      <c r="C84" s="89" t="s">
        <v>86</v>
      </c>
      <c r="D84" s="42">
        <v>650</v>
      </c>
      <c r="E84" s="43">
        <f>SUM(E81:E83)</f>
        <v>0</v>
      </c>
      <c r="F84" s="44">
        <f>SUM(F81:F83)</f>
        <v>0</v>
      </c>
    </row>
    <row r="85" spans="1:6" s="14" customFormat="1" ht="19.5" thickBot="1" x14ac:dyDescent="0.25">
      <c r="A85" s="7"/>
      <c r="B85" s="74">
        <v>3</v>
      </c>
      <c r="C85" s="29" t="s">
        <v>87</v>
      </c>
      <c r="D85" s="30"/>
      <c r="E85" s="39"/>
      <c r="F85" s="40"/>
    </row>
    <row r="86" spans="1:6" s="14" customFormat="1" thickBot="1" x14ac:dyDescent="0.25">
      <c r="A86" s="7"/>
      <c r="B86" s="28" t="s">
        <v>38</v>
      </c>
      <c r="C86" s="91" t="s">
        <v>88</v>
      </c>
      <c r="D86" s="19"/>
      <c r="E86" s="53"/>
      <c r="F86" s="54"/>
    </row>
    <row r="87" spans="1:6" s="14" customFormat="1" ht="12" x14ac:dyDescent="0.2">
      <c r="A87" s="7"/>
      <c r="B87" s="80"/>
      <c r="C87" s="22" t="s">
        <v>89</v>
      </c>
      <c r="D87" s="62">
        <v>660</v>
      </c>
      <c r="E87" s="55">
        <f>IF(ISREF(Kr_660t),Kr_660t,0)</f>
        <v>0</v>
      </c>
      <c r="F87" s="56">
        <f>IF(ISREF(Kr_660p),Kr_660p,0)</f>
        <v>0</v>
      </c>
    </row>
    <row r="88" spans="1:6" s="14" customFormat="1" ht="12" x14ac:dyDescent="0.2">
      <c r="A88" s="7"/>
      <c r="B88" s="80"/>
      <c r="C88" s="22" t="s">
        <v>90</v>
      </c>
      <c r="D88" s="62">
        <v>670</v>
      </c>
      <c r="E88" s="55">
        <f>IF(ISREF(Kr_670t),Kr_670t,0)</f>
        <v>0</v>
      </c>
      <c r="F88" s="56">
        <f>IF(ISREF(Kr_670p),Kr_670p,0)</f>
        <v>0</v>
      </c>
    </row>
    <row r="89" spans="1:6" s="14" customFormat="1" ht="12" x14ac:dyDescent="0.2">
      <c r="A89" s="7"/>
      <c r="B89" s="80"/>
      <c r="C89" s="22" t="s">
        <v>91</v>
      </c>
      <c r="D89" s="62">
        <v>680</v>
      </c>
      <c r="E89" s="55">
        <f>IF(ISREF(Kr_680t),Kr_680t,0)</f>
        <v>3446445</v>
      </c>
      <c r="F89" s="56">
        <f>IF(ISREF(Kr_680p),Kr_680p,0)</f>
        <v>3603204</v>
      </c>
    </row>
    <row r="90" spans="1:6" s="14" customFormat="1" ht="12" x14ac:dyDescent="0.2">
      <c r="A90" s="7"/>
      <c r="B90" s="80"/>
      <c r="C90" s="22" t="s">
        <v>92</v>
      </c>
      <c r="D90" s="62">
        <v>690</v>
      </c>
      <c r="E90" s="55">
        <f>IF(ISREF(Kr_690t),Kr_690t,0)</f>
        <v>0</v>
      </c>
      <c r="F90" s="56">
        <f>IF(ISREF(Kr_690p),Kr_690p,0)</f>
        <v>0</v>
      </c>
    </row>
    <row r="91" spans="1:6" s="14" customFormat="1" ht="12" x14ac:dyDescent="0.2">
      <c r="A91" s="7"/>
      <c r="B91" s="80"/>
      <c r="C91" s="22" t="s">
        <v>93</v>
      </c>
      <c r="D91" s="62">
        <v>700</v>
      </c>
      <c r="E91" s="55">
        <f>IF(ISREF(Kr_700t),Kr_700t,0)</f>
        <v>0</v>
      </c>
      <c r="F91" s="56">
        <f>IF(ISREF(Kr_700p),Kr_700p,0)</f>
        <v>0</v>
      </c>
    </row>
    <row r="92" spans="1:6" s="14" customFormat="1" ht="12" x14ac:dyDescent="0.2">
      <c r="A92" s="7"/>
      <c r="B92" s="80"/>
      <c r="C92" s="22" t="s">
        <v>94</v>
      </c>
      <c r="D92" s="62">
        <v>710</v>
      </c>
      <c r="E92" s="55">
        <f>IF(ISREF(Kr_710t),Kr_710t,0)</f>
        <v>0</v>
      </c>
      <c r="F92" s="56">
        <f>IF(ISREF(Kr_710p),Kr_710p,0)</f>
        <v>0</v>
      </c>
    </row>
    <row r="93" spans="1:6" s="14" customFormat="1" ht="12" x14ac:dyDescent="0.2">
      <c r="A93" s="7"/>
      <c r="B93" s="80"/>
      <c r="C93" s="22" t="s">
        <v>95</v>
      </c>
      <c r="D93" s="62">
        <v>720</v>
      </c>
      <c r="E93" s="55">
        <f>IF(ISREF(Kr_720t),Kr_720t,0)</f>
        <v>0</v>
      </c>
      <c r="F93" s="56">
        <f>IF(ISREF(Kr_720p),Kr_720p,0)</f>
        <v>0</v>
      </c>
    </row>
    <row r="94" spans="1:6" s="14" customFormat="1" ht="12" x14ac:dyDescent="0.2">
      <c r="A94" s="7"/>
      <c r="B94" s="80"/>
      <c r="C94" s="22" t="s">
        <v>96</v>
      </c>
      <c r="D94" s="62">
        <v>730</v>
      </c>
      <c r="E94" s="55">
        <f>IF(ISREF(Kr_730t),Kr_730t,0)</f>
        <v>0</v>
      </c>
      <c r="F94" s="56">
        <f>IF(ISREF(Kr_730p),Kr_730p,0)</f>
        <v>0</v>
      </c>
    </row>
    <row r="95" spans="1:6" s="14" customFormat="1" ht="12" x14ac:dyDescent="0.2">
      <c r="A95" s="7"/>
      <c r="B95" s="80"/>
      <c r="C95" s="22" t="s">
        <v>97</v>
      </c>
      <c r="D95" s="62">
        <v>740</v>
      </c>
      <c r="E95" s="55">
        <f>IF(ISREF(Kr_740t),Kr_740t,0)</f>
        <v>0</v>
      </c>
      <c r="F95" s="56">
        <f>IF(ISREF(Kr_740p),Kr_740p,0)</f>
        <v>0</v>
      </c>
    </row>
    <row r="96" spans="1:6" s="14" customFormat="1" ht="12" x14ac:dyDescent="0.2">
      <c r="A96" s="7"/>
      <c r="B96" s="80"/>
      <c r="C96" s="22" t="s">
        <v>98</v>
      </c>
      <c r="D96" s="62">
        <v>750</v>
      </c>
      <c r="E96" s="55">
        <f>IF(ISREF(Kr_750t),Kr_750t,0)</f>
        <v>0</v>
      </c>
      <c r="F96" s="56">
        <f>IF(ISREF(Kr_750p),Kr_750p,0)</f>
        <v>0</v>
      </c>
    </row>
    <row r="97" spans="1:6" s="14" customFormat="1" ht="12" x14ac:dyDescent="0.2">
      <c r="A97" s="7"/>
      <c r="B97" s="80"/>
      <c r="C97" s="22" t="s">
        <v>99</v>
      </c>
      <c r="D97" s="62">
        <v>760</v>
      </c>
      <c r="E97" s="55">
        <f>IF(ISREF(Kr_760t),Kr_760t,0)</f>
        <v>0</v>
      </c>
      <c r="F97" s="56">
        <f>IF(ISREF(Kr_760p),Kr_760p,0)</f>
        <v>0</v>
      </c>
    </row>
    <row r="98" spans="1:6" s="14" customFormat="1" ht="12" x14ac:dyDescent="0.2">
      <c r="A98" s="7"/>
      <c r="B98" s="80"/>
      <c r="C98" s="22" t="s">
        <v>100</v>
      </c>
      <c r="D98" s="62">
        <v>770</v>
      </c>
      <c r="E98" s="55">
        <f>IF(ISREF(Kr_770t),Kr_770t,0)</f>
        <v>8208168</v>
      </c>
      <c r="F98" s="56">
        <f>IF(ISREF(Kr_770p),Kr_770p,0)</f>
        <v>8960907</v>
      </c>
    </row>
    <row r="99" spans="1:6" s="14" customFormat="1" ht="12" x14ac:dyDescent="0.2">
      <c r="A99" s="7"/>
      <c r="B99" s="80"/>
      <c r="C99" s="92">
        <v>13</v>
      </c>
      <c r="D99" s="62">
        <v>780</v>
      </c>
      <c r="E99" s="93"/>
      <c r="F99" s="93"/>
    </row>
    <row r="100" spans="1:6" s="14" customFormat="1" ht="12" x14ac:dyDescent="0.2">
      <c r="A100" s="7"/>
      <c r="B100" s="80"/>
      <c r="C100" s="22" t="s">
        <v>101</v>
      </c>
      <c r="D100" s="62">
        <v>790</v>
      </c>
      <c r="E100" s="55">
        <f>IF(ISREF(Kr_790t),Kr_790t,0)</f>
        <v>0</v>
      </c>
      <c r="F100" s="56">
        <f>IF(ISREF(Kr_790p),Kr_790p,0)</f>
        <v>0</v>
      </c>
    </row>
    <row r="101" spans="1:6" s="14" customFormat="1" thickBot="1" x14ac:dyDescent="0.25">
      <c r="A101" s="7"/>
      <c r="B101" s="80"/>
      <c r="C101" s="94" t="s">
        <v>102</v>
      </c>
      <c r="D101" s="95">
        <v>800</v>
      </c>
      <c r="E101" s="43">
        <f>SUM(E87:E100)</f>
        <v>11654613</v>
      </c>
      <c r="F101" s="44">
        <f>SUM(F87:F100)</f>
        <v>12564111</v>
      </c>
    </row>
    <row r="102" spans="1:6" s="14" customFormat="1" ht="12" x14ac:dyDescent="0.2">
      <c r="A102" s="7"/>
      <c r="B102" s="96" t="s">
        <v>46</v>
      </c>
      <c r="C102" s="97" t="s">
        <v>103</v>
      </c>
      <c r="D102" s="98"/>
      <c r="E102" s="99"/>
      <c r="F102" s="100"/>
    </row>
    <row r="103" spans="1:6" s="14" customFormat="1" ht="12" x14ac:dyDescent="0.2">
      <c r="A103" s="7"/>
      <c r="B103" s="80"/>
      <c r="C103" s="22" t="s">
        <v>104</v>
      </c>
      <c r="D103" s="23">
        <v>810</v>
      </c>
      <c r="E103" s="55">
        <f>IF(ISREF(Kr_810t),Kr_810t,0)</f>
        <v>0</v>
      </c>
      <c r="F103" s="56">
        <f>IF(ISREF(Kr_810p),Kr_810p,0)</f>
        <v>0</v>
      </c>
    </row>
    <row r="104" spans="1:6" s="14" customFormat="1" ht="12" x14ac:dyDescent="0.2">
      <c r="A104" s="7"/>
      <c r="B104" s="80"/>
      <c r="C104" s="22" t="s">
        <v>90</v>
      </c>
      <c r="D104" s="23">
        <v>820</v>
      </c>
      <c r="E104" s="55">
        <f>IF(ISREF(Kr_820t),Kr_820t,0)</f>
        <v>0</v>
      </c>
      <c r="F104" s="56">
        <f>IF(ISREF(Kr_820p),Kr_820p,0)</f>
        <v>0</v>
      </c>
    </row>
    <row r="105" spans="1:6" s="14" customFormat="1" ht="12" x14ac:dyDescent="0.2">
      <c r="A105" s="7"/>
      <c r="B105" s="80"/>
      <c r="C105" s="22" t="s">
        <v>91</v>
      </c>
      <c r="D105" s="23">
        <v>830</v>
      </c>
      <c r="E105" s="55">
        <f>IF(ISREF(Kr_830t),Kr_830t,0)</f>
        <v>156759</v>
      </c>
      <c r="F105" s="56">
        <f>IF(ISREF(Kr_830p),Kr_830p,0)</f>
        <v>156759</v>
      </c>
    </row>
    <row r="106" spans="1:6" s="14" customFormat="1" ht="12" x14ac:dyDescent="0.2">
      <c r="A106" s="7"/>
      <c r="B106" s="80"/>
      <c r="C106" s="22" t="s">
        <v>92</v>
      </c>
      <c r="D106" s="23">
        <v>840</v>
      </c>
      <c r="E106" s="55">
        <f>IF(ISREF(Kr_840t),Kr_840t,0)</f>
        <v>0</v>
      </c>
      <c r="F106" s="56">
        <f>IF(ISREF(Kr_840pp),Kr_840pp,0)</f>
        <v>0</v>
      </c>
    </row>
    <row r="107" spans="1:6" s="14" customFormat="1" ht="12" x14ac:dyDescent="0.2">
      <c r="A107" s="7"/>
      <c r="B107" s="80"/>
      <c r="C107" s="22" t="s">
        <v>105</v>
      </c>
      <c r="D107" s="23">
        <v>850</v>
      </c>
      <c r="E107" s="55">
        <f>IF(ISREF(Kr_850t),Kr_850t,0)</f>
        <v>0</v>
      </c>
      <c r="F107" s="56">
        <f>IF(ISREF(Kr_850p),Kr_850p,0)</f>
        <v>0</v>
      </c>
    </row>
    <row r="108" spans="1:6" s="14" customFormat="1" ht="12" x14ac:dyDescent="0.2">
      <c r="A108" s="7"/>
      <c r="B108" s="80"/>
      <c r="C108" s="22" t="s">
        <v>106</v>
      </c>
      <c r="D108" s="23">
        <v>860</v>
      </c>
      <c r="E108" s="55">
        <f>IF(ISREF(Kr_860t),Kr_860t,0)</f>
        <v>18793</v>
      </c>
      <c r="F108" s="56">
        <f>IF(ISREF(Kr_860p),Kr_860p,0)</f>
        <v>12926</v>
      </c>
    </row>
    <row r="109" spans="1:6" s="14" customFormat="1" ht="12" x14ac:dyDescent="0.2">
      <c r="A109" s="7"/>
      <c r="B109" s="80"/>
      <c r="C109" s="22" t="s">
        <v>95</v>
      </c>
      <c r="D109" s="23">
        <v>870</v>
      </c>
      <c r="E109" s="55">
        <f>IF(ISREF(Kr_870t),Kr_870t,0)</f>
        <v>0</v>
      </c>
      <c r="F109" s="56">
        <f>IF(ISREF(Kr_870p),Kr_870p,0)</f>
        <v>0</v>
      </c>
    </row>
    <row r="110" spans="1:6" s="14" customFormat="1" ht="12" x14ac:dyDescent="0.2">
      <c r="A110" s="7"/>
      <c r="B110" s="80"/>
      <c r="C110" s="22" t="s">
        <v>96</v>
      </c>
      <c r="D110" s="23">
        <v>880</v>
      </c>
      <c r="E110" s="55">
        <f>IF(ISREF(Kr_880t),Kr_880t,0)</f>
        <v>0</v>
      </c>
      <c r="F110" s="56">
        <f>IF(ISREF(Kr_880p),Kr_880p,0)</f>
        <v>0</v>
      </c>
    </row>
    <row r="111" spans="1:6" s="14" customFormat="1" ht="12" x14ac:dyDescent="0.2">
      <c r="A111" s="7"/>
      <c r="B111" s="80"/>
      <c r="C111" s="22" t="s">
        <v>97</v>
      </c>
      <c r="D111" s="23">
        <v>890</v>
      </c>
      <c r="E111" s="55">
        <f>IF(ISREF(Kr_890t),Kr_890t,0)</f>
        <v>0</v>
      </c>
      <c r="F111" s="56">
        <f>IF(ISREF(Kr_890p),Kr_890p,0)</f>
        <v>0</v>
      </c>
    </row>
    <row r="112" spans="1:6" s="14" customFormat="1" ht="12" x14ac:dyDescent="0.2">
      <c r="A112" s="7"/>
      <c r="B112" s="80"/>
      <c r="C112" s="22" t="s">
        <v>107</v>
      </c>
      <c r="D112" s="23">
        <v>900</v>
      </c>
      <c r="E112" s="55">
        <f>IF(ISREF(Kr_900t),Kr_900t,0)</f>
        <v>92820</v>
      </c>
      <c r="F112" s="56">
        <f>IF(ISREF(Kr_900p),Kr_900p,0)</f>
        <v>89488</v>
      </c>
    </row>
    <row r="113" spans="1:9" s="14" customFormat="1" ht="12" x14ac:dyDescent="0.2">
      <c r="A113" s="7"/>
      <c r="B113" s="80"/>
      <c r="C113" s="22" t="s">
        <v>99</v>
      </c>
      <c r="D113" s="23">
        <v>910</v>
      </c>
      <c r="E113" s="55">
        <f>IF(ISREF(Kr_910t),Kr_910t,0)</f>
        <v>11103</v>
      </c>
      <c r="F113" s="56">
        <f>IF(ISREF(Kr_910p),Kr_910p,0)</f>
        <v>10508</v>
      </c>
    </row>
    <row r="114" spans="1:9" s="14" customFormat="1" ht="12" x14ac:dyDescent="0.2">
      <c r="A114" s="7"/>
      <c r="B114" s="80"/>
      <c r="C114" s="22" t="s">
        <v>100</v>
      </c>
      <c r="D114" s="23">
        <v>920</v>
      </c>
      <c r="E114" s="55">
        <f>IF(ISREF(Kr_920t),Kr_920t,0)</f>
        <v>718215</v>
      </c>
      <c r="F114" s="56">
        <f>IF(ISREF(Kr_920p),Kr_920p,0)</f>
        <v>773946</v>
      </c>
    </row>
    <row r="115" spans="1:9" s="14" customFormat="1" ht="12" x14ac:dyDescent="0.2">
      <c r="A115" s="7"/>
      <c r="B115" s="80"/>
      <c r="C115" s="92">
        <v>13</v>
      </c>
      <c r="D115" s="23">
        <v>930</v>
      </c>
      <c r="E115" s="93"/>
      <c r="F115" s="93"/>
    </row>
    <row r="116" spans="1:9" s="14" customFormat="1" ht="12" x14ac:dyDescent="0.2">
      <c r="A116" s="7"/>
      <c r="B116" s="80"/>
      <c r="C116" s="22" t="s">
        <v>101</v>
      </c>
      <c r="D116" s="23">
        <v>940</v>
      </c>
      <c r="E116" s="55">
        <f>IF(ISREF(Kr_940t),Kr_940t,0)</f>
        <v>0</v>
      </c>
      <c r="F116" s="56">
        <f>IF(ISREF(Kr_940p),Kr_940p,0)</f>
        <v>0</v>
      </c>
    </row>
    <row r="117" spans="1:9" s="14" customFormat="1" ht="12" x14ac:dyDescent="0.2">
      <c r="A117" s="7"/>
      <c r="B117" s="80"/>
      <c r="C117" s="22" t="s">
        <v>108</v>
      </c>
      <c r="D117" s="23">
        <v>950</v>
      </c>
      <c r="E117" s="55">
        <v>70221</v>
      </c>
      <c r="F117" s="56">
        <f>IF(ISREF(Kr_950p),Kr_950p,0)</f>
        <v>41099</v>
      </c>
    </row>
    <row r="118" spans="1:9" s="14" customFormat="1" ht="12" x14ac:dyDescent="0.2">
      <c r="A118" s="7"/>
      <c r="B118" s="80"/>
      <c r="C118" s="22" t="s">
        <v>109</v>
      </c>
      <c r="D118" s="23">
        <v>960</v>
      </c>
      <c r="E118" s="55">
        <f>IF(ISREF(Kr_960t),Kr_960t,0)</f>
        <v>0</v>
      </c>
      <c r="F118" s="56">
        <f>IF(ISREF(Kr_960p),Kr_960p,0)</f>
        <v>0</v>
      </c>
    </row>
    <row r="119" spans="1:9" s="14" customFormat="1" ht="12" x14ac:dyDescent="0.2">
      <c r="A119" s="7"/>
      <c r="B119" s="80"/>
      <c r="C119" s="84" t="s">
        <v>20</v>
      </c>
      <c r="D119" s="85">
        <v>970</v>
      </c>
      <c r="E119" s="82">
        <f>SUM(E103:E118)</f>
        <v>1067911</v>
      </c>
      <c r="F119" s="83">
        <f>SUM(F103:F118)</f>
        <v>1084726</v>
      </c>
    </row>
    <row r="120" spans="1:9" s="14" customFormat="1" thickBot="1" x14ac:dyDescent="0.25">
      <c r="A120" s="7"/>
      <c r="B120" s="101"/>
      <c r="C120" s="102" t="s">
        <v>110</v>
      </c>
      <c r="D120" s="103">
        <v>980</v>
      </c>
      <c r="E120" s="104">
        <f>SUM(E101,E119)</f>
        <v>12722524</v>
      </c>
      <c r="F120" s="105">
        <f>SUM(F101,F119)</f>
        <v>13648837</v>
      </c>
    </row>
    <row r="121" spans="1:9" s="14" customFormat="1" ht="15" thickBot="1" x14ac:dyDescent="0.25">
      <c r="A121" s="7"/>
      <c r="B121" s="106"/>
      <c r="C121" s="107" t="s">
        <v>65</v>
      </c>
      <c r="D121" s="108">
        <v>990</v>
      </c>
      <c r="E121" s="109">
        <f>SUM(E79,E84,E120)</f>
        <v>11989109</v>
      </c>
      <c r="F121" s="110">
        <f>SUM(F79,F84,F120)</f>
        <v>12929834</v>
      </c>
    </row>
    <row r="122" spans="1:9" s="14" customFormat="1" ht="28.5" customHeight="1" x14ac:dyDescent="0.2">
      <c r="A122" s="7"/>
      <c r="B122" s="224" t="str">
        <f>CONCATENATE([1]Celvedis!$C$31,"_____________________________________",[1]Celvedis!$C$30)</f>
        <v>Valdes loceklis_____________________________________Jānis Daģis</v>
      </c>
      <c r="C122" s="224"/>
      <c r="D122" s="224"/>
      <c r="E122" s="224"/>
      <c r="F122" s="224"/>
      <c r="G122" s="68"/>
      <c r="H122" s="33"/>
      <c r="I122" s="33"/>
    </row>
  </sheetData>
  <mergeCells count="1">
    <mergeCell ref="B122:F1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28" workbookViewId="0">
      <selection activeCell="E39" sqref="E39"/>
    </sheetView>
  </sheetViews>
  <sheetFormatPr defaultRowHeight="15" x14ac:dyDescent="0.25"/>
  <cols>
    <col min="1" max="1" width="47.28515625" customWidth="1"/>
    <col min="3" max="3" width="12" customWidth="1"/>
    <col min="4" max="4" width="12.85546875" customWidth="1"/>
    <col min="5" max="5" width="25" customWidth="1"/>
    <col min="6" max="6" width="16.140625" customWidth="1"/>
    <col min="7" max="7" width="12.42578125" customWidth="1"/>
  </cols>
  <sheetData>
    <row r="1" spans="1:4" x14ac:dyDescent="0.25">
      <c r="A1" s="223" t="s">
        <v>171</v>
      </c>
    </row>
    <row r="3" spans="1:4" ht="18.75" x14ac:dyDescent="0.3">
      <c r="A3" s="225" t="s">
        <v>111</v>
      </c>
      <c r="B3" s="225"/>
      <c r="C3" s="225"/>
      <c r="D3" s="225"/>
    </row>
    <row r="4" spans="1:4" ht="16.5" thickBot="1" x14ac:dyDescent="0.3">
      <c r="A4" s="226" t="str">
        <f>CONCATENATE("(klasificēts pēc apgrozījuma izmaksu metodes) par ",LEFT([1]Celvedis!C32,4),". gadu")</f>
        <v>(klasificēts pēc apgrozījuma izmaksu metodes) par 2016. gadu</v>
      </c>
      <c r="B4" s="226"/>
      <c r="C4" s="226"/>
      <c r="D4" s="226"/>
    </row>
    <row r="5" spans="1:4" s="14" customFormat="1" ht="32.25" thickBot="1" x14ac:dyDescent="0.3">
      <c r="A5" s="113"/>
      <c r="B5" s="114" t="s">
        <v>2</v>
      </c>
      <c r="C5" s="6" t="str">
        <f>CONCATENATE("31/12/",LEFT([1]Celvedis!$C$32,4))</f>
        <v>31/12/2016</v>
      </c>
      <c r="D5" s="6" t="str">
        <f>CONCATENATE("31/12/",LEFT([1]Celvedis!$C$33,4))</f>
        <v>31/12/2015</v>
      </c>
    </row>
    <row r="6" spans="1:4" s="14" customFormat="1" ht="15.75" x14ac:dyDescent="0.2">
      <c r="A6" s="115" t="s">
        <v>112</v>
      </c>
      <c r="B6" s="116">
        <v>10</v>
      </c>
      <c r="C6" s="117">
        <f>[1]p.z.apr.skaidrojumi!C24</f>
        <v>1171337</v>
      </c>
      <c r="D6" s="118">
        <f>[1]p.z.apr.skaidrojumi!D24</f>
        <v>1119801</v>
      </c>
    </row>
    <row r="7" spans="1:4" s="14" customFormat="1" ht="15.75" x14ac:dyDescent="0.2">
      <c r="A7" s="115" t="s">
        <v>113</v>
      </c>
      <c r="B7" s="116">
        <v>20</v>
      </c>
      <c r="C7" s="119">
        <f>[1]p.z.apr.skaidrojumi!C50</f>
        <v>1022983</v>
      </c>
      <c r="D7" s="120">
        <f>[1]p.z.apr.skaidrojumi!D50</f>
        <v>1023914</v>
      </c>
    </row>
    <row r="8" spans="1:4" s="14" customFormat="1" ht="15.75" x14ac:dyDescent="0.2">
      <c r="A8" s="121" t="s">
        <v>114</v>
      </c>
      <c r="B8" s="122">
        <v>30</v>
      </c>
      <c r="C8" s="117">
        <f>C6-C7</f>
        <v>148354</v>
      </c>
      <c r="D8" s="118">
        <f>D6-D7</f>
        <v>95887</v>
      </c>
    </row>
    <row r="9" spans="1:4" s="14" customFormat="1" ht="15.75" x14ac:dyDescent="0.2">
      <c r="A9" s="115" t="s">
        <v>115</v>
      </c>
      <c r="B9" s="116">
        <v>40</v>
      </c>
      <c r="C9" s="119">
        <f>[1]p.z.apr.skaidrojumi!C55</f>
        <v>0</v>
      </c>
      <c r="D9" s="120">
        <f>[1]p.z.apr.skaidrojumi!D55</f>
        <v>0</v>
      </c>
    </row>
    <row r="10" spans="1:4" s="14" customFormat="1" ht="15.75" x14ac:dyDescent="0.2">
      <c r="A10" s="115" t="s">
        <v>116</v>
      </c>
      <c r="B10" s="116">
        <v>50</v>
      </c>
      <c r="C10" s="119">
        <f>[1]p.z.apr.skaidrojumi!C71</f>
        <v>83586</v>
      </c>
      <c r="D10" s="120">
        <f>[1]p.z.apr.skaidrojumi!D71</f>
        <v>83839</v>
      </c>
    </row>
    <row r="11" spans="1:4" s="14" customFormat="1" ht="15.75" x14ac:dyDescent="0.2">
      <c r="A11" s="115" t="s">
        <v>117</v>
      </c>
      <c r="B11" s="116">
        <v>60</v>
      </c>
      <c r="C11" s="119">
        <f>IF(ISREF(PZskaidr_060t),PZskaidr_060t,0)</f>
        <v>775609</v>
      </c>
      <c r="D11" s="120">
        <f>IF(ISREF(PZskaidr_060p),PZskaidr_060p,0)</f>
        <v>791050</v>
      </c>
    </row>
    <row r="12" spans="1:4" s="14" customFormat="1" ht="15.75" x14ac:dyDescent="0.2">
      <c r="A12" s="115" t="s">
        <v>118</v>
      </c>
      <c r="B12" s="116">
        <v>70</v>
      </c>
      <c r="C12" s="119">
        <f>IF(ISREF(PZskaidr_070t),PZskaidr_070t,0)</f>
        <v>773947</v>
      </c>
      <c r="D12" s="120">
        <f>IF(ISREF(PZskaidr_070p),PZskaidr_070p,0)</f>
        <v>791050</v>
      </c>
    </row>
    <row r="13" spans="1:4" s="14" customFormat="1" ht="31.5" x14ac:dyDescent="0.25">
      <c r="A13" s="123" t="s">
        <v>119</v>
      </c>
      <c r="B13" s="116">
        <v>80</v>
      </c>
      <c r="C13" s="119">
        <f>IF(ISREF(PZskaidr_080t),PZskaidr_080t,0)</f>
        <v>0</v>
      </c>
      <c r="D13" s="120">
        <f>IF(ISREF(PZskaidr_080p),PZskaidr_080p,0)</f>
        <v>0</v>
      </c>
    </row>
    <row r="14" spans="1:4" s="14" customFormat="1" ht="31.5" x14ac:dyDescent="0.25">
      <c r="A14" s="123" t="s">
        <v>120</v>
      </c>
      <c r="B14" s="116">
        <v>90</v>
      </c>
      <c r="C14" s="119">
        <f>IF(ISREF(PZskaidr_090t),PZskaidr_090t,0)</f>
        <v>0</v>
      </c>
      <c r="D14" s="120">
        <f>IF(ISREF(PZskaidr_090p),PZskaidr_090p,0)</f>
        <v>0</v>
      </c>
    </row>
    <row r="15" spans="1:4" s="14" customFormat="1" ht="15.75" x14ac:dyDescent="0.2">
      <c r="A15" s="115" t="s">
        <v>121</v>
      </c>
      <c r="B15" s="116">
        <v>100</v>
      </c>
      <c r="C15" s="119">
        <f>IF(ISREF(PZskaidr_100t),PZskaidr_100t,0)</f>
        <v>0</v>
      </c>
      <c r="D15" s="120"/>
    </row>
    <row r="16" spans="1:4" s="14" customFormat="1" ht="31.5" x14ac:dyDescent="0.25">
      <c r="A16" s="123" t="s">
        <v>122</v>
      </c>
      <c r="B16" s="116">
        <v>110</v>
      </c>
      <c r="C16" s="119">
        <f>IF(ISREF(PZskaidr_110t),PZskaidr_110t,0)</f>
        <v>0</v>
      </c>
      <c r="D16" s="120">
        <f>IF(ISREF(PZskaidr_110p),PZskaidr_110p,0)</f>
        <v>0</v>
      </c>
    </row>
    <row r="17" spans="1:6" s="14" customFormat="1" ht="15.75" x14ac:dyDescent="0.2">
      <c r="A17" s="115" t="s">
        <v>123</v>
      </c>
      <c r="B17" s="116">
        <v>120</v>
      </c>
      <c r="C17" s="119">
        <f>IF(ISREF(PZskaidr_120t),PZskaidr_120t,0)</f>
        <v>79696</v>
      </c>
      <c r="D17" s="120">
        <f>IF(ISREF(PZskaidr_120p),PZskaidr_120p,0)</f>
        <v>88850</v>
      </c>
    </row>
    <row r="18" spans="1:6" s="14" customFormat="1" ht="15.75" x14ac:dyDescent="0.2">
      <c r="A18" s="121" t="s">
        <v>124</v>
      </c>
      <c r="B18" s="122">
        <v>130</v>
      </c>
      <c r="C18" s="117">
        <f>C8-C9-C10+C11-C12+C13+C14+C15-C16-C17</f>
        <v>-13266</v>
      </c>
      <c r="D18" s="118">
        <f>D8-D9-D10+D11-D12+D13+D14+D15-D16-D17</f>
        <v>-76802</v>
      </c>
    </row>
    <row r="19" spans="1:6" s="14" customFormat="1" ht="15.75" x14ac:dyDescent="0.2">
      <c r="A19" s="115" t="s">
        <v>125</v>
      </c>
      <c r="B19" s="116">
        <v>140</v>
      </c>
      <c r="C19" s="119">
        <f>[1]p.z.apr.skaidrojumi!C125</f>
        <v>0</v>
      </c>
      <c r="D19" s="120">
        <f>[1]p.z.apr.skaidrojumi!D125</f>
        <v>0</v>
      </c>
    </row>
    <row r="20" spans="1:6" s="14" customFormat="1" ht="15.75" x14ac:dyDescent="0.2">
      <c r="A20" s="115" t="s">
        <v>126</v>
      </c>
      <c r="B20" s="116">
        <v>150</v>
      </c>
      <c r="C20" s="119">
        <f>[1]p.z.apr.skaidrojumi!C130</f>
        <v>0</v>
      </c>
      <c r="D20" s="120">
        <f>[1]p.z.apr.skaidrojumi!D130</f>
        <v>0</v>
      </c>
    </row>
    <row r="21" spans="1:6" s="14" customFormat="1" ht="15.75" x14ac:dyDescent="0.2">
      <c r="A21" s="121" t="s">
        <v>127</v>
      </c>
      <c r="B21" s="122">
        <v>160</v>
      </c>
      <c r="C21" s="117">
        <f>C18+C19-C20</f>
        <v>-13266</v>
      </c>
      <c r="D21" s="118">
        <f>D18+D19-D20</f>
        <v>-76802</v>
      </c>
    </row>
    <row r="22" spans="1:6" s="14" customFormat="1" ht="15.75" x14ac:dyDescent="0.2">
      <c r="A22" s="115" t="s">
        <v>128</v>
      </c>
      <c r="B22" s="116">
        <v>170</v>
      </c>
      <c r="C22" s="124"/>
      <c r="D22" s="125"/>
    </row>
    <row r="23" spans="1:6" s="14" customFormat="1" ht="15.75" x14ac:dyDescent="0.2">
      <c r="A23" s="115" t="s">
        <v>129</v>
      </c>
      <c r="B23" s="116">
        <v>180</v>
      </c>
      <c r="C23" s="119">
        <f>[1]p.z.apr.skaidrojumi!C136</f>
        <v>1146</v>
      </c>
      <c r="D23" s="119">
        <f>[1]p.z.apr.skaidrojumi!D136</f>
        <v>851</v>
      </c>
    </row>
    <row r="24" spans="1:6" s="14" customFormat="1" ht="16.5" thickBot="1" x14ac:dyDescent="0.25">
      <c r="A24" s="126" t="s">
        <v>130</v>
      </c>
      <c r="B24" s="127">
        <v>190</v>
      </c>
      <c r="C24" s="128">
        <f>C21-SUM(C22:C23)</f>
        <v>-14412</v>
      </c>
      <c r="D24" s="129">
        <f>D21-SUM(D22:D23)</f>
        <v>-77653</v>
      </c>
    </row>
    <row r="25" spans="1:6" s="14" customFormat="1" ht="15.75" x14ac:dyDescent="0.2">
      <c r="A25" s="130"/>
      <c r="B25" s="131"/>
      <c r="C25" s="132"/>
      <c r="D25" s="132"/>
    </row>
    <row r="26" spans="1:6" s="14" customFormat="1" ht="28.5" customHeight="1" x14ac:dyDescent="0.2">
      <c r="A26" s="227" t="str">
        <f>CONCATENATE([1]Celvedis!$C$31,"_____________________________",[1]Celvedis!$C$30)</f>
        <v>Valdes loceklis_____________________________Jānis Daģis</v>
      </c>
      <c r="B26" s="227"/>
      <c r="C26" s="227"/>
      <c r="D26" s="227"/>
      <c r="E26" s="33"/>
      <c r="F26" s="33"/>
    </row>
    <row r="27" spans="1:6" ht="19.5" customHeight="1" x14ac:dyDescent="0.25"/>
    <row r="28" spans="1:6" ht="35.25" customHeight="1" x14ac:dyDescent="0.25"/>
    <row r="33" ht="21" customHeight="1" x14ac:dyDescent="0.25"/>
    <row r="47" ht="23.25" customHeight="1" x14ac:dyDescent="0.25"/>
    <row r="48" ht="20.25" customHeight="1" x14ac:dyDescent="0.25"/>
    <row r="56" spans="1:6" ht="20.25" customHeight="1" x14ac:dyDescent="0.25"/>
    <row r="57" spans="1:6" ht="21.75" customHeight="1" x14ac:dyDescent="0.25"/>
    <row r="58" spans="1:6" ht="21.75" customHeight="1" x14ac:dyDescent="0.25"/>
    <row r="59" spans="1:6" ht="17.25" customHeight="1" x14ac:dyDescent="0.25"/>
    <row r="63" spans="1:6" x14ac:dyDescent="0.25">
      <c r="A63" s="133"/>
      <c r="B63" s="133"/>
      <c r="C63" s="133"/>
      <c r="D63" s="133"/>
      <c r="E63" s="133"/>
      <c r="F63" s="133"/>
    </row>
    <row r="64" spans="1:6" x14ac:dyDescent="0.25">
      <c r="A64" s="133"/>
      <c r="B64" s="133"/>
      <c r="C64" s="133"/>
      <c r="D64" s="133"/>
      <c r="E64" s="133"/>
      <c r="F64" s="133"/>
    </row>
    <row r="65" spans="1:11" ht="15.75" x14ac:dyDescent="0.25">
      <c r="A65" s="133"/>
      <c r="B65" s="134"/>
      <c r="C65" s="135"/>
      <c r="D65" s="136"/>
      <c r="E65" s="133"/>
      <c r="F65" s="133"/>
    </row>
    <row r="66" spans="1:11" x14ac:dyDescent="0.25">
      <c r="A66" s="133"/>
      <c r="B66" s="133"/>
      <c r="C66" s="133"/>
      <c r="D66" s="133"/>
      <c r="E66" s="133"/>
      <c r="F66" s="133"/>
    </row>
    <row r="67" spans="1:11" x14ac:dyDescent="0.25">
      <c r="A67" s="137"/>
      <c r="B67" s="137"/>
      <c r="C67" s="138"/>
      <c r="D67" s="138"/>
      <c r="E67" s="133"/>
      <c r="F67" s="133"/>
    </row>
    <row r="68" spans="1:11" x14ac:dyDescent="0.25">
      <c r="A68" s="133"/>
      <c r="B68" s="133"/>
      <c r="C68" s="133"/>
      <c r="D68" s="133"/>
      <c r="E68" s="133"/>
      <c r="F68" s="133"/>
    </row>
    <row r="69" spans="1:11" x14ac:dyDescent="0.25">
      <c r="A69" s="133"/>
      <c r="B69" s="133"/>
      <c r="C69" s="228"/>
      <c r="D69" s="229"/>
      <c r="E69" s="133"/>
      <c r="F69" s="133"/>
    </row>
    <row r="70" spans="1:11" x14ac:dyDescent="0.25">
      <c r="A70" s="133"/>
      <c r="B70" s="133"/>
      <c r="C70" s="228"/>
      <c r="D70" s="229"/>
      <c r="E70" s="133"/>
      <c r="F70" s="133"/>
    </row>
    <row r="71" spans="1:11" x14ac:dyDescent="0.25">
      <c r="A71" s="139"/>
      <c r="B71" s="133"/>
      <c r="C71" s="133"/>
      <c r="D71" s="133"/>
      <c r="E71" s="133"/>
      <c r="F71" s="133"/>
    </row>
    <row r="72" spans="1:11" x14ac:dyDescent="0.25">
      <c r="A72" s="139"/>
      <c r="B72" s="133"/>
      <c r="C72" s="133"/>
      <c r="D72" s="133"/>
      <c r="E72" s="133"/>
      <c r="F72" s="133"/>
    </row>
    <row r="73" spans="1:11" x14ac:dyDescent="0.25">
      <c r="A73" s="139"/>
      <c r="B73" s="133"/>
      <c r="C73" s="133"/>
      <c r="D73" s="133"/>
      <c r="E73" s="133"/>
      <c r="F73" s="133"/>
    </row>
    <row r="74" spans="1:11" x14ac:dyDescent="0.25">
      <c r="A74" s="139"/>
      <c r="B74" s="133"/>
      <c r="C74" s="133"/>
      <c r="D74" s="133"/>
      <c r="E74" s="133"/>
      <c r="F74" s="133"/>
    </row>
    <row r="75" spans="1:11" x14ac:dyDescent="0.25">
      <c r="A75" s="139"/>
      <c r="B75" s="133"/>
      <c r="C75" s="133"/>
      <c r="D75" s="133"/>
      <c r="E75" s="133"/>
      <c r="F75" s="133"/>
    </row>
    <row r="76" spans="1:11" x14ac:dyDescent="0.25">
      <c r="A76" s="139"/>
      <c r="B76" s="133"/>
      <c r="C76" s="133"/>
      <c r="D76" s="133"/>
      <c r="E76" s="133"/>
      <c r="F76" s="133"/>
    </row>
    <row r="77" spans="1:11" ht="19.5" customHeight="1" x14ac:dyDescent="0.25">
      <c r="A77" s="133"/>
      <c r="B77" s="133"/>
      <c r="C77" s="133"/>
      <c r="D77" s="133"/>
      <c r="E77" s="133"/>
      <c r="F77" s="133"/>
    </row>
    <row r="78" spans="1:11" x14ac:dyDescent="0.25">
      <c r="A78" s="133"/>
      <c r="B78" s="133"/>
      <c r="C78" s="133"/>
      <c r="D78" s="133"/>
      <c r="E78" s="228"/>
      <c r="F78" s="234"/>
      <c r="G78" s="230"/>
      <c r="H78" s="232"/>
      <c r="I78" s="232"/>
      <c r="J78" s="232"/>
      <c r="K78" s="140"/>
    </row>
    <row r="79" spans="1:11" ht="15.75" thickBot="1" x14ac:dyDescent="0.3">
      <c r="A79" s="133"/>
      <c r="B79" s="133"/>
      <c r="C79" s="133"/>
      <c r="D79" s="133"/>
      <c r="E79" s="228"/>
      <c r="F79" s="234"/>
      <c r="G79" s="231"/>
      <c r="H79" s="233"/>
      <c r="I79" s="233"/>
      <c r="J79" s="233"/>
      <c r="K79" s="140"/>
    </row>
    <row r="80" spans="1:11" x14ac:dyDescent="0.25">
      <c r="A80" s="133"/>
      <c r="B80" s="133"/>
      <c r="C80" s="133"/>
      <c r="D80" s="133"/>
      <c r="E80" s="133"/>
      <c r="F80" s="133"/>
    </row>
    <row r="81" spans="1:6" ht="15.75" x14ac:dyDescent="0.25">
      <c r="A81" s="141"/>
      <c r="B81" s="133"/>
      <c r="C81" s="134"/>
      <c r="D81" s="133"/>
      <c r="E81" s="133"/>
      <c r="F81" s="133"/>
    </row>
    <row r="87" spans="1:6" ht="72" customHeight="1" x14ac:dyDescent="0.25"/>
  </sheetData>
  <mergeCells count="11">
    <mergeCell ref="G78:G79"/>
    <mergeCell ref="H78:H79"/>
    <mergeCell ref="I78:I79"/>
    <mergeCell ref="J78:J79"/>
    <mergeCell ref="E78:E79"/>
    <mergeCell ref="F78:F79"/>
    <mergeCell ref="A3:D3"/>
    <mergeCell ref="A4:D4"/>
    <mergeCell ref="A26:D26"/>
    <mergeCell ref="C69:C70"/>
    <mergeCell ref="D69:D7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tabSelected="1" topLeftCell="A22" workbookViewId="0">
      <selection activeCell="H72" sqref="H72"/>
    </sheetView>
  </sheetViews>
  <sheetFormatPr defaultRowHeight="12.75" x14ac:dyDescent="0.2"/>
  <cols>
    <col min="1" max="1" width="11.140625" style="142" customWidth="1"/>
    <col min="2" max="2" width="5.7109375" style="142" customWidth="1"/>
    <col min="3" max="3" width="42" style="142" customWidth="1"/>
    <col min="4" max="4" width="10.85546875" style="142" customWidth="1"/>
    <col min="5" max="5" width="12" style="142" customWidth="1"/>
    <col min="6" max="6" width="11.5703125" style="142" customWidth="1"/>
    <col min="7" max="7" width="11.28515625" style="142" customWidth="1"/>
    <col min="8" max="16384" width="9.140625" style="142"/>
  </cols>
  <sheetData>
    <row r="1" spans="2:7" ht="33.75" customHeight="1" x14ac:dyDescent="0.25">
      <c r="C1" s="223" t="s">
        <v>171</v>
      </c>
    </row>
    <row r="2" spans="2:7" ht="17.25" customHeight="1" x14ac:dyDescent="0.2"/>
    <row r="3" spans="2:7" ht="30" customHeight="1" thickBot="1" x14ac:dyDescent="0.25">
      <c r="B3" s="237" t="s">
        <v>131</v>
      </c>
      <c r="C3" s="237"/>
      <c r="D3" s="237"/>
      <c r="E3" s="237"/>
      <c r="F3" s="237"/>
      <c r="G3" s="237"/>
    </row>
    <row r="4" spans="2:7" ht="13.5" thickBot="1" x14ac:dyDescent="0.25">
      <c r="B4" s="238"/>
      <c r="C4" s="239"/>
      <c r="D4" s="235" t="str">
        <f>[1]Celvedis!$C$32</f>
        <v>2016. gads</v>
      </c>
      <c r="E4" s="236"/>
      <c r="F4" s="235" t="str">
        <f>[1]Celvedis!$C$33</f>
        <v>2015. gads</v>
      </c>
      <c r="G4" s="236"/>
    </row>
    <row r="5" spans="2:7" ht="13.5" customHeight="1" x14ac:dyDescent="0.2">
      <c r="B5" s="240" t="s">
        <v>132</v>
      </c>
      <c r="C5" s="241"/>
      <c r="D5" s="143" t="s">
        <v>133</v>
      </c>
      <c r="E5" s="144" t="s">
        <v>134</v>
      </c>
      <c r="F5" s="143" t="s">
        <v>133</v>
      </c>
      <c r="G5" s="144" t="s">
        <v>134</v>
      </c>
    </row>
    <row r="6" spans="2:7" s="151" customFormat="1" ht="13.5" customHeight="1" x14ac:dyDescent="0.2">
      <c r="B6" s="145">
        <v>1</v>
      </c>
      <c r="C6" s="146" t="s">
        <v>135</v>
      </c>
      <c r="D6" s="147">
        <v>1357629</v>
      </c>
      <c r="E6" s="148"/>
      <c r="F6" s="149">
        <v>1347116</v>
      </c>
      <c r="G6" s="150"/>
    </row>
    <row r="7" spans="2:7" s="151" customFormat="1" ht="15" x14ac:dyDescent="0.2">
      <c r="B7" s="145">
        <v>2</v>
      </c>
      <c r="C7" s="152" t="s">
        <v>136</v>
      </c>
      <c r="D7" s="153"/>
      <c r="E7" s="154">
        <v>426847</v>
      </c>
      <c r="F7" s="155"/>
      <c r="G7" s="156">
        <v>429861</v>
      </c>
    </row>
    <row r="8" spans="2:7" s="151" customFormat="1" ht="24" x14ac:dyDescent="0.2">
      <c r="B8" s="157">
        <v>3</v>
      </c>
      <c r="C8" s="152" t="s">
        <v>137</v>
      </c>
      <c r="D8" s="153"/>
      <c r="E8" s="154">
        <v>211076</v>
      </c>
      <c r="F8" s="155"/>
      <c r="G8" s="156">
        <v>205905</v>
      </c>
    </row>
    <row r="9" spans="2:7" s="151" customFormat="1" ht="15" x14ac:dyDescent="0.2">
      <c r="B9" s="157">
        <v>4</v>
      </c>
      <c r="C9" s="152" t="s">
        <v>138</v>
      </c>
      <c r="D9" s="153"/>
      <c r="E9" s="154"/>
      <c r="F9" s="155"/>
      <c r="G9" s="156"/>
    </row>
    <row r="10" spans="2:7" s="151" customFormat="1" ht="15" x14ac:dyDescent="0.2">
      <c r="B10" s="145">
        <v>5</v>
      </c>
      <c r="C10" s="152" t="s">
        <v>139</v>
      </c>
      <c r="D10" s="158"/>
      <c r="E10" s="159"/>
      <c r="F10" s="155"/>
      <c r="G10" s="156"/>
    </row>
    <row r="11" spans="2:7" s="151" customFormat="1" ht="15" x14ac:dyDescent="0.2">
      <c r="B11" s="145">
        <v>6</v>
      </c>
      <c r="C11" s="160" t="s">
        <v>140</v>
      </c>
      <c r="D11" s="153"/>
      <c r="E11" s="154">
        <v>1713</v>
      </c>
      <c r="F11" s="155"/>
      <c r="G11" s="156">
        <v>1927</v>
      </c>
    </row>
    <row r="12" spans="2:7" s="151" customFormat="1" ht="15" x14ac:dyDescent="0.2">
      <c r="B12" s="157">
        <v>7</v>
      </c>
      <c r="C12" s="152" t="s">
        <v>141</v>
      </c>
      <c r="D12" s="153"/>
      <c r="E12" s="154">
        <v>489211</v>
      </c>
      <c r="F12" s="155"/>
      <c r="G12" s="156">
        <v>464918</v>
      </c>
    </row>
    <row r="13" spans="2:7" s="151" customFormat="1" ht="15" x14ac:dyDescent="0.2">
      <c r="B13" s="157">
        <v>8</v>
      </c>
      <c r="C13" s="152" t="s">
        <v>142</v>
      </c>
      <c r="D13" s="153"/>
      <c r="E13" s="154"/>
      <c r="F13" s="155"/>
      <c r="G13" s="156"/>
    </row>
    <row r="14" spans="2:7" s="151" customFormat="1" ht="15" x14ac:dyDescent="0.2">
      <c r="B14" s="157">
        <v>9</v>
      </c>
      <c r="C14" s="152"/>
      <c r="D14" s="153"/>
      <c r="E14" s="154"/>
      <c r="F14" s="155"/>
      <c r="G14" s="156"/>
    </row>
    <row r="15" spans="2:7" s="151" customFormat="1" ht="15" x14ac:dyDescent="0.2">
      <c r="B15" s="145">
        <v>10</v>
      </c>
      <c r="C15" s="152"/>
      <c r="D15" s="153"/>
      <c r="E15" s="154"/>
      <c r="F15" s="155"/>
      <c r="G15" s="156"/>
    </row>
    <row r="16" spans="2:7" s="151" customFormat="1" ht="15" x14ac:dyDescent="0.25">
      <c r="B16" s="145"/>
      <c r="C16" s="161"/>
      <c r="D16" s="162"/>
      <c r="E16" s="163"/>
      <c r="F16" s="164"/>
      <c r="G16" s="165"/>
    </row>
    <row r="17" spans="2:7" ht="13.5" thickBot="1" x14ac:dyDescent="0.25">
      <c r="B17" s="166"/>
      <c r="C17" s="167" t="s">
        <v>143</v>
      </c>
      <c r="D17" s="168">
        <f>SUM(D6:D16)</f>
        <v>1357629</v>
      </c>
      <c r="E17" s="169">
        <f>SUM(E6:E16)</f>
        <v>1128847</v>
      </c>
      <c r="F17" s="168">
        <f>SUM(F6:F16)</f>
        <v>1347116</v>
      </c>
      <c r="G17" s="169">
        <f>SUM(G6:G16)</f>
        <v>1102611</v>
      </c>
    </row>
    <row r="18" spans="2:7" ht="26.25" thickBot="1" x14ac:dyDescent="0.25">
      <c r="B18" s="170" t="s">
        <v>4</v>
      </c>
      <c r="C18" s="171" t="s">
        <v>144</v>
      </c>
      <c r="D18" s="172">
        <f>SUM(D17-E17)</f>
        <v>228782</v>
      </c>
      <c r="E18" s="173"/>
      <c r="F18" s="172">
        <f>SUM(F17-G17)</f>
        <v>244505</v>
      </c>
      <c r="G18" s="174"/>
    </row>
    <row r="19" spans="2:7" ht="7.5" customHeight="1" thickBot="1" x14ac:dyDescent="0.3">
      <c r="B19" s="175"/>
      <c r="C19" s="175"/>
      <c r="D19" s="176"/>
      <c r="E19" s="176"/>
      <c r="F19" s="176"/>
      <c r="G19" s="177"/>
    </row>
    <row r="20" spans="2:7" ht="13.5" thickBot="1" x14ac:dyDescent="0.25">
      <c r="B20" s="170"/>
      <c r="C20" s="171"/>
      <c r="D20" s="235" t="str">
        <f>[1]Celvedis!$C$32</f>
        <v>2016. gads</v>
      </c>
      <c r="E20" s="236"/>
      <c r="F20" s="235" t="str">
        <f>[1]Celvedis!$C$33</f>
        <v>2015. gads</v>
      </c>
      <c r="G20" s="236"/>
    </row>
    <row r="21" spans="2:7" x14ac:dyDescent="0.2">
      <c r="B21" s="245" t="s">
        <v>145</v>
      </c>
      <c r="C21" s="246"/>
      <c r="D21" s="178" t="s">
        <v>133</v>
      </c>
      <c r="E21" s="179" t="s">
        <v>134</v>
      </c>
      <c r="F21" s="178" t="s">
        <v>133</v>
      </c>
      <c r="G21" s="180" t="s">
        <v>134</v>
      </c>
    </row>
    <row r="22" spans="2:7" s="151" customFormat="1" x14ac:dyDescent="0.2">
      <c r="B22" s="181">
        <v>1</v>
      </c>
      <c r="C22" s="152" t="s">
        <v>146</v>
      </c>
      <c r="D22" s="182"/>
      <c r="E22" s="183"/>
      <c r="F22" s="155"/>
      <c r="G22" s="156"/>
    </row>
    <row r="23" spans="2:7" s="151" customFormat="1" x14ac:dyDescent="0.2">
      <c r="B23" s="181">
        <v>2</v>
      </c>
      <c r="C23" s="152" t="s">
        <v>147</v>
      </c>
      <c r="D23" s="153"/>
      <c r="E23" s="183"/>
      <c r="F23" s="155"/>
      <c r="G23" s="156"/>
    </row>
    <row r="24" spans="2:7" s="151" customFormat="1" x14ac:dyDescent="0.2">
      <c r="B24" s="181">
        <v>3</v>
      </c>
      <c r="C24" s="152" t="s">
        <v>148</v>
      </c>
      <c r="D24" s="153"/>
      <c r="E24" s="183">
        <v>34935</v>
      </c>
      <c r="F24" s="155"/>
      <c r="G24" s="156">
        <v>34245</v>
      </c>
    </row>
    <row r="25" spans="2:7" s="151" customFormat="1" x14ac:dyDescent="0.2">
      <c r="B25" s="181">
        <v>4</v>
      </c>
      <c r="C25" s="152" t="s">
        <v>149</v>
      </c>
      <c r="D25" s="153"/>
      <c r="E25" s="183"/>
      <c r="F25" s="155"/>
      <c r="G25" s="156"/>
    </row>
    <row r="26" spans="2:7" s="151" customFormat="1" x14ac:dyDescent="0.2">
      <c r="B26" s="181">
        <v>5</v>
      </c>
      <c r="C26" s="152" t="s">
        <v>150</v>
      </c>
      <c r="D26" s="158"/>
      <c r="E26" s="184"/>
      <c r="F26" s="155"/>
      <c r="G26" s="156"/>
    </row>
    <row r="27" spans="2:7" s="151" customFormat="1" x14ac:dyDescent="0.2">
      <c r="B27" s="181">
        <v>6</v>
      </c>
      <c r="C27" s="152" t="s">
        <v>151</v>
      </c>
      <c r="D27" s="153"/>
      <c r="E27" s="183"/>
      <c r="F27" s="155"/>
      <c r="G27" s="156"/>
    </row>
    <row r="28" spans="2:7" s="151" customFormat="1" x14ac:dyDescent="0.2">
      <c r="B28" s="185"/>
      <c r="C28" s="186"/>
      <c r="D28" s="187"/>
      <c r="E28" s="184"/>
      <c r="F28" s="155"/>
      <c r="G28" s="156"/>
    </row>
    <row r="29" spans="2:7" ht="13.5" thickBot="1" x14ac:dyDescent="0.25">
      <c r="B29" s="166"/>
      <c r="C29" s="167" t="s">
        <v>143</v>
      </c>
      <c r="D29" s="188">
        <f>SUM(D22:D28)</f>
        <v>0</v>
      </c>
      <c r="E29" s="189">
        <f>SUM(E22:E28)</f>
        <v>34935</v>
      </c>
      <c r="F29" s="188">
        <f>SUM(F22:F28)</f>
        <v>0</v>
      </c>
      <c r="G29" s="190">
        <f>SUM(G22:G28)</f>
        <v>34245</v>
      </c>
    </row>
    <row r="30" spans="2:7" ht="26.25" thickBot="1" x14ac:dyDescent="0.25">
      <c r="B30" s="191" t="s">
        <v>46</v>
      </c>
      <c r="C30" s="192" t="s">
        <v>152</v>
      </c>
      <c r="D30" s="193">
        <f>SUM(D29-E29)</f>
        <v>-34935</v>
      </c>
      <c r="E30" s="194"/>
      <c r="F30" s="193">
        <f>SUM(F29-G29)</f>
        <v>-34245</v>
      </c>
      <c r="G30" s="174"/>
    </row>
    <row r="31" spans="2:7" ht="6.75" customHeight="1" thickBot="1" x14ac:dyDescent="0.3">
      <c r="B31" s="195"/>
      <c r="C31" s="175"/>
      <c r="D31" s="176"/>
      <c r="E31" s="176"/>
      <c r="F31" s="196"/>
      <c r="G31" s="197"/>
    </row>
    <row r="32" spans="2:7" ht="13.5" thickBot="1" x14ac:dyDescent="0.25">
      <c r="B32" s="198"/>
      <c r="C32" s="199"/>
      <c r="D32" s="235" t="str">
        <f>[1]Celvedis!$C$32</f>
        <v>2016. gads</v>
      </c>
      <c r="E32" s="236"/>
      <c r="F32" s="235" t="str">
        <f>[1]Celvedis!$C$33</f>
        <v>2015. gads</v>
      </c>
      <c r="G32" s="236"/>
    </row>
    <row r="33" spans="2:7" s="151" customFormat="1" x14ac:dyDescent="0.2">
      <c r="B33" s="200"/>
      <c r="C33" s="201" t="s">
        <v>153</v>
      </c>
      <c r="D33" s="202" t="s">
        <v>133</v>
      </c>
      <c r="E33" s="203" t="s">
        <v>134</v>
      </c>
      <c r="F33" s="202" t="s">
        <v>133</v>
      </c>
      <c r="G33" s="203" t="s">
        <v>134</v>
      </c>
    </row>
    <row r="34" spans="2:7" s="151" customFormat="1" x14ac:dyDescent="0.2">
      <c r="B34" s="181">
        <v>3</v>
      </c>
      <c r="C34" s="152" t="s">
        <v>154</v>
      </c>
      <c r="D34" s="153"/>
      <c r="E34" s="154"/>
      <c r="F34" s="155"/>
      <c r="G34" s="156"/>
    </row>
    <row r="35" spans="2:7" s="151" customFormat="1" x14ac:dyDescent="0.2">
      <c r="B35" s="181">
        <v>4</v>
      </c>
      <c r="C35" s="152" t="s">
        <v>155</v>
      </c>
      <c r="D35" s="153"/>
      <c r="E35" s="154">
        <v>232272</v>
      </c>
      <c r="F35" s="155"/>
      <c r="G35" s="156">
        <v>161107</v>
      </c>
    </row>
    <row r="36" spans="2:7" s="151" customFormat="1" x14ac:dyDescent="0.2">
      <c r="B36" s="181">
        <v>6</v>
      </c>
      <c r="C36" s="152" t="s">
        <v>156</v>
      </c>
      <c r="D36" s="153"/>
      <c r="E36" s="154"/>
      <c r="F36" s="155"/>
      <c r="G36" s="156"/>
    </row>
    <row r="37" spans="2:7" s="151" customFormat="1" x14ac:dyDescent="0.2">
      <c r="B37" s="181">
        <v>7</v>
      </c>
      <c r="C37" s="152" t="s">
        <v>157</v>
      </c>
      <c r="D37" s="153"/>
      <c r="E37" s="154"/>
      <c r="F37" s="155"/>
      <c r="G37" s="156"/>
    </row>
    <row r="38" spans="2:7" s="151" customFormat="1" x14ac:dyDescent="0.2">
      <c r="B38" s="181">
        <v>8</v>
      </c>
      <c r="C38" s="152" t="s">
        <v>158</v>
      </c>
      <c r="D38" s="153"/>
      <c r="E38" s="154"/>
      <c r="F38" s="155"/>
      <c r="G38" s="156"/>
    </row>
    <row r="39" spans="2:7" s="151" customFormat="1" x14ac:dyDescent="0.2">
      <c r="B39" s="181">
        <v>9</v>
      </c>
      <c r="C39" s="152" t="s">
        <v>159</v>
      </c>
      <c r="D39" s="153"/>
      <c r="E39" s="154"/>
      <c r="F39" s="155"/>
      <c r="G39" s="156"/>
    </row>
    <row r="40" spans="2:7" s="151" customFormat="1" x14ac:dyDescent="0.2">
      <c r="B40" s="181"/>
      <c r="C40" s="152"/>
      <c r="D40" s="153"/>
      <c r="E40" s="154"/>
      <c r="F40" s="155"/>
      <c r="G40" s="156"/>
    </row>
    <row r="41" spans="2:7" ht="13.5" thickBot="1" x14ac:dyDescent="0.25">
      <c r="B41" s="166"/>
      <c r="C41" s="167" t="s">
        <v>143</v>
      </c>
      <c r="D41" s="188">
        <f>SUM(D34:D40)</f>
        <v>0</v>
      </c>
      <c r="E41" s="190">
        <f>SUM(E34:E40)</f>
        <v>232272</v>
      </c>
      <c r="F41" s="188">
        <f>SUM(F34:F40)</f>
        <v>0</v>
      </c>
      <c r="G41" s="190">
        <f>SUM(G34:G40)</f>
        <v>161107</v>
      </c>
    </row>
    <row r="42" spans="2:7" ht="26.25" thickBot="1" x14ac:dyDescent="0.25">
      <c r="B42" s="191" t="s">
        <v>21</v>
      </c>
      <c r="C42" s="192" t="s">
        <v>160</v>
      </c>
      <c r="D42" s="193">
        <f>SUM(D41-E41)</f>
        <v>-232272</v>
      </c>
      <c r="E42" s="173"/>
      <c r="F42" s="193">
        <f>SUM(F41-G41)</f>
        <v>-161107</v>
      </c>
      <c r="G42" s="174"/>
    </row>
    <row r="43" spans="2:7" ht="6" customHeight="1" thickBot="1" x14ac:dyDescent="0.3">
      <c r="B43" s="175"/>
      <c r="C43" s="175"/>
      <c r="D43" s="176"/>
      <c r="E43" s="176"/>
      <c r="F43" s="196"/>
      <c r="G43" s="196"/>
    </row>
    <row r="44" spans="2:7" ht="13.5" thickBot="1" x14ac:dyDescent="0.25">
      <c r="B44" s="238" t="s">
        <v>161</v>
      </c>
      <c r="C44" s="239"/>
      <c r="D44" s="235" t="str">
        <f>[1]Celvedis!$C$32</f>
        <v>2016. gads</v>
      </c>
      <c r="E44" s="236"/>
      <c r="F44" s="235" t="str">
        <f>[1]Celvedis!$C$33</f>
        <v>2015. gads</v>
      </c>
      <c r="G44" s="236"/>
    </row>
    <row r="45" spans="2:7" ht="16.5" customHeight="1" thickBot="1" x14ac:dyDescent="0.25">
      <c r="B45" s="204"/>
      <c r="C45" s="205" t="s">
        <v>162</v>
      </c>
      <c r="D45" s="242" t="s">
        <v>163</v>
      </c>
      <c r="E45" s="243"/>
      <c r="F45" s="242" t="s">
        <v>163</v>
      </c>
      <c r="G45" s="243"/>
    </row>
    <row r="46" spans="2:7" x14ac:dyDescent="0.2">
      <c r="B46" s="206" t="s">
        <v>4</v>
      </c>
      <c r="C46" s="207" t="s">
        <v>164</v>
      </c>
      <c r="D46" s="208">
        <f>D18</f>
        <v>228782</v>
      </c>
      <c r="E46" s="209"/>
      <c r="F46" s="208">
        <f>F18</f>
        <v>244505</v>
      </c>
      <c r="G46" s="210"/>
    </row>
    <row r="47" spans="2:7" x14ac:dyDescent="0.2">
      <c r="B47" s="211" t="s">
        <v>46</v>
      </c>
      <c r="C47" s="207" t="s">
        <v>165</v>
      </c>
      <c r="D47" s="212">
        <f>D30</f>
        <v>-34935</v>
      </c>
      <c r="E47" s="213"/>
      <c r="F47" s="212">
        <f>F30</f>
        <v>-34245</v>
      </c>
      <c r="G47" s="213"/>
    </row>
    <row r="48" spans="2:7" x14ac:dyDescent="0.2">
      <c r="B48" s="211" t="s">
        <v>46</v>
      </c>
      <c r="C48" s="207" t="s">
        <v>166</v>
      </c>
      <c r="D48" s="212">
        <f>D42</f>
        <v>-232272</v>
      </c>
      <c r="E48" s="213"/>
      <c r="F48" s="212">
        <f>F42</f>
        <v>-161107</v>
      </c>
      <c r="G48" s="213"/>
    </row>
    <row r="49" spans="1:8" x14ac:dyDescent="0.2">
      <c r="B49" s="211" t="s">
        <v>23</v>
      </c>
      <c r="C49" s="207" t="s">
        <v>167</v>
      </c>
      <c r="D49" s="212">
        <f>SUM(D46+D47+D48)</f>
        <v>-38425</v>
      </c>
      <c r="E49" s="213"/>
      <c r="F49" s="212">
        <f>SUM(F46+F47+F48)</f>
        <v>49153</v>
      </c>
      <c r="G49" s="213"/>
    </row>
    <row r="50" spans="1:8" ht="24" x14ac:dyDescent="0.2">
      <c r="B50" s="211" t="s">
        <v>25</v>
      </c>
      <c r="C50" s="207" t="s">
        <v>168</v>
      </c>
      <c r="D50" s="214">
        <f>F51</f>
        <v>140745</v>
      </c>
      <c r="E50" s="213"/>
      <c r="F50" s="155">
        <v>91592</v>
      </c>
      <c r="G50" s="213"/>
    </row>
    <row r="51" spans="1:8" ht="24.75" thickBot="1" x14ac:dyDescent="0.25">
      <c r="B51" s="215" t="s">
        <v>169</v>
      </c>
      <c r="C51" s="216" t="s">
        <v>170</v>
      </c>
      <c r="D51" s="217">
        <f>D50+D49</f>
        <v>102320</v>
      </c>
      <c r="E51" s="218"/>
      <c r="F51" s="217">
        <v>140745</v>
      </c>
      <c r="G51" s="218"/>
    </row>
    <row r="52" spans="1:8" s="221" customFormat="1" ht="28.5" customHeight="1" thickBot="1" x14ac:dyDescent="0.25">
      <c r="A52" s="219"/>
      <c r="B52" s="244" t="str">
        <f>CONCATENATE([1]Celvedis!$C$31,"_____________________________________",[1]Celvedis!$C$30)</f>
        <v>Valdes loceklis_____________________________________Jānis Daģis</v>
      </c>
      <c r="C52" s="244"/>
      <c r="D52" s="244"/>
      <c r="E52" s="244"/>
      <c r="F52" s="244"/>
      <c r="G52" s="220"/>
      <c r="H52" s="222"/>
    </row>
    <row r="53" spans="1:8" ht="11.25" customHeight="1" x14ac:dyDescent="0.2"/>
  </sheetData>
  <mergeCells count="16">
    <mergeCell ref="D45:E45"/>
    <mergeCell ref="F45:G45"/>
    <mergeCell ref="B52:F52"/>
    <mergeCell ref="B21:C21"/>
    <mergeCell ref="D32:E32"/>
    <mergeCell ref="F32:G32"/>
    <mergeCell ref="B44:C44"/>
    <mergeCell ref="D44:E44"/>
    <mergeCell ref="F44:G44"/>
    <mergeCell ref="D20:E20"/>
    <mergeCell ref="F20:G20"/>
    <mergeCell ref="B3:G3"/>
    <mergeCell ref="B4:C4"/>
    <mergeCell ref="D4:E4"/>
    <mergeCell ref="F4:G4"/>
    <mergeCell ref="B5:C5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Bilance 4.cet.</vt:lpstr>
      <vt:lpstr>PZ 4.cet.</vt:lpstr>
      <vt:lpstr>NP 4.cet.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Ņikitova</dc:creator>
  <cp:lastModifiedBy>Jana Lužaite</cp:lastModifiedBy>
  <dcterms:created xsi:type="dcterms:W3CDTF">2017-02-08T13:46:59Z</dcterms:created>
  <dcterms:modified xsi:type="dcterms:W3CDTF">2017-02-09T06:40:32Z</dcterms:modified>
</cp:coreProperties>
</file>